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35" yWindow="15" windowWidth="9945" windowHeight="10080" tabRatio="917" activeTab="5"/>
  </bookViews>
  <sheets>
    <sheet name="Next" sheetId="27" r:id="rId1"/>
    <sheet name="Stats" sheetId="16" r:id="rId2"/>
    <sheet name="Curve Charts" sheetId="30" r:id="rId3"/>
    <sheet name="Commons Table" sheetId="26" r:id="rId4"/>
    <sheet name="Uncommons Table" sheetId="28" r:id="rId5"/>
    <sheet name="PFA-C" sheetId="24" r:id="rId6"/>
    <sheet name="PFA-U" sheetId="25" r:id="rId7"/>
    <sheet name="ChartData" sheetId="29" r:id="rId8"/>
  </sheets>
  <calcPr calcId="124519"/>
</workbook>
</file>

<file path=xl/calcChain.xml><?xml version="1.0" encoding="utf-8"?>
<calcChain xmlns="http://schemas.openxmlformats.org/spreadsheetml/2006/main">
  <c r="C13" i="16"/>
  <c r="P19" i="29"/>
  <c r="O19"/>
  <c r="N19"/>
  <c r="M19"/>
  <c r="L19"/>
  <c r="K19"/>
  <c r="P18"/>
  <c r="O18"/>
  <c r="N18"/>
  <c r="M18"/>
  <c r="L18"/>
  <c r="K18"/>
  <c r="G19"/>
  <c r="F19"/>
  <c r="E19"/>
  <c r="D19"/>
  <c r="C19"/>
  <c r="B19"/>
  <c r="G18"/>
  <c r="F18"/>
  <c r="E18"/>
  <c r="D18"/>
  <c r="C18"/>
  <c r="B18"/>
  <c r="A14" i="16"/>
  <c r="F2" i="27"/>
  <c r="E2"/>
  <c r="D2"/>
  <c r="C2"/>
  <c r="B2"/>
  <c r="F9"/>
  <c r="E9"/>
  <c r="D9"/>
  <c r="C9"/>
  <c r="B9"/>
  <c r="Z4" i="29"/>
  <c r="Z3"/>
  <c r="Z19"/>
  <c r="Z18"/>
  <c r="Z13"/>
  <c r="Z12"/>
  <c r="P22"/>
  <c r="O22"/>
  <c r="N22"/>
  <c r="M22"/>
  <c r="L22"/>
  <c r="K22"/>
  <c r="P21"/>
  <c r="O21"/>
  <c r="N21"/>
  <c r="M21"/>
  <c r="L21"/>
  <c r="K21"/>
  <c r="Q16"/>
  <c r="P16"/>
  <c r="O16"/>
  <c r="N16"/>
  <c r="M16"/>
  <c r="L16"/>
  <c r="K16"/>
  <c r="Q15"/>
  <c r="P15"/>
  <c r="O15"/>
  <c r="N15"/>
  <c r="M15"/>
  <c r="L15"/>
  <c r="K15"/>
  <c r="P13"/>
  <c r="O13"/>
  <c r="N13"/>
  <c r="M13"/>
  <c r="L13"/>
  <c r="K13"/>
  <c r="P12"/>
  <c r="O12"/>
  <c r="N12"/>
  <c r="M12"/>
  <c r="L12"/>
  <c r="K12"/>
  <c r="Q10"/>
  <c r="P10"/>
  <c r="O10"/>
  <c r="N10"/>
  <c r="M10"/>
  <c r="L10"/>
  <c r="K10"/>
  <c r="Q9"/>
  <c r="P9"/>
  <c r="O9"/>
  <c r="N9"/>
  <c r="M9"/>
  <c r="L9"/>
  <c r="K9"/>
  <c r="P7"/>
  <c r="O7"/>
  <c r="N7"/>
  <c r="M7"/>
  <c r="L7"/>
  <c r="K7"/>
  <c r="P6"/>
  <c r="O6"/>
  <c r="N6"/>
  <c r="M6"/>
  <c r="L6"/>
  <c r="K6"/>
  <c r="P4"/>
  <c r="O4"/>
  <c r="N4"/>
  <c r="M4"/>
  <c r="L4"/>
  <c r="K4"/>
  <c r="P3"/>
  <c r="O3"/>
  <c r="N3"/>
  <c r="M3"/>
  <c r="L3"/>
  <c r="K3"/>
  <c r="H7"/>
  <c r="Z7" s="1"/>
  <c r="G7"/>
  <c r="I22"/>
  <c r="AA22" s="1"/>
  <c r="H22"/>
  <c r="Z22" s="1"/>
  <c r="G22"/>
  <c r="Y22" s="1"/>
  <c r="I21"/>
  <c r="I24" s="1"/>
  <c r="AA24" s="1"/>
  <c r="H21"/>
  <c r="Z21" s="1"/>
  <c r="G21"/>
  <c r="Y21" s="1"/>
  <c r="H10"/>
  <c r="Z10" s="1"/>
  <c r="G10"/>
  <c r="Y10" s="1"/>
  <c r="H9"/>
  <c r="G9"/>
  <c r="H6"/>
  <c r="Z6" s="1"/>
  <c r="G6"/>
  <c r="F22"/>
  <c r="X22" s="1"/>
  <c r="E22"/>
  <c r="W22" s="1"/>
  <c r="D22"/>
  <c r="V22" s="1"/>
  <c r="C22"/>
  <c r="U22" s="1"/>
  <c r="F21"/>
  <c r="X21" s="1"/>
  <c r="E21"/>
  <c r="W21" s="1"/>
  <c r="D21"/>
  <c r="V21" s="1"/>
  <c r="C21"/>
  <c r="U21" s="1"/>
  <c r="H16"/>
  <c r="Z16" s="1"/>
  <c r="H15"/>
  <c r="Z15" s="1"/>
  <c r="G15"/>
  <c r="Y15" s="1"/>
  <c r="G16"/>
  <c r="Y16" s="1"/>
  <c r="F16"/>
  <c r="X16" s="1"/>
  <c r="E16"/>
  <c r="W16" s="1"/>
  <c r="D16"/>
  <c r="V16" s="1"/>
  <c r="C16"/>
  <c r="U16" s="1"/>
  <c r="F15"/>
  <c r="X15" s="1"/>
  <c r="E15"/>
  <c r="W15" s="1"/>
  <c r="D15"/>
  <c r="C15"/>
  <c r="U15" s="1"/>
  <c r="G13"/>
  <c r="Y13" s="1"/>
  <c r="F13"/>
  <c r="X13" s="1"/>
  <c r="E13"/>
  <c r="W13" s="1"/>
  <c r="D13"/>
  <c r="V13" s="1"/>
  <c r="C13"/>
  <c r="U13" s="1"/>
  <c r="G12"/>
  <c r="Y12" s="1"/>
  <c r="F12"/>
  <c r="E12"/>
  <c r="W12" s="1"/>
  <c r="D12"/>
  <c r="C12"/>
  <c r="U12" s="1"/>
  <c r="F10"/>
  <c r="X10" s="1"/>
  <c r="E10"/>
  <c r="W10" s="1"/>
  <c r="D10"/>
  <c r="V10" s="1"/>
  <c r="C10"/>
  <c r="U10" s="1"/>
  <c r="F9"/>
  <c r="E9"/>
  <c r="D9"/>
  <c r="C9"/>
  <c r="F7"/>
  <c r="E7"/>
  <c r="D7"/>
  <c r="C7"/>
  <c r="F6"/>
  <c r="E6"/>
  <c r="D6"/>
  <c r="C6"/>
  <c r="B22"/>
  <c r="T22" s="1"/>
  <c r="B16"/>
  <c r="T16" s="1"/>
  <c r="B13"/>
  <c r="T13" s="1"/>
  <c r="B10"/>
  <c r="T10" s="1"/>
  <c r="B7"/>
  <c r="B4"/>
  <c r="B21"/>
  <c r="T21" s="1"/>
  <c r="B15"/>
  <c r="T15" s="1"/>
  <c r="B12"/>
  <c r="B9"/>
  <c r="T9" s="1"/>
  <c r="B6"/>
  <c r="G4"/>
  <c r="F4"/>
  <c r="E4"/>
  <c r="D4"/>
  <c r="C4"/>
  <c r="B3"/>
  <c r="G3"/>
  <c r="F3"/>
  <c r="E3"/>
  <c r="D3"/>
  <c r="C3"/>
  <c r="C19" i="16"/>
  <c r="C14"/>
  <c r="C16"/>
  <c r="C18"/>
  <c r="C17"/>
  <c r="C21"/>
  <c r="C20"/>
  <c r="C15"/>
  <c r="C7"/>
  <c r="C9"/>
  <c r="C8"/>
  <c r="C10"/>
  <c r="C6"/>
  <c r="E3"/>
  <c r="G3" s="1"/>
  <c r="A3"/>
  <c r="C3" s="1"/>
  <c r="A19"/>
  <c r="A16"/>
  <c r="A7"/>
  <c r="A9"/>
  <c r="A8"/>
  <c r="A10"/>
  <c r="A6"/>
  <c r="A20"/>
  <c r="A17"/>
  <c r="A18"/>
  <c r="A15"/>
  <c r="A13"/>
  <c r="A21"/>
  <c r="T7" i="29" l="1"/>
  <c r="V18"/>
  <c r="X18"/>
  <c r="T19"/>
  <c r="V19"/>
  <c r="X19"/>
  <c r="U18"/>
  <c r="W18"/>
  <c r="Y18"/>
  <c r="U19"/>
  <c r="W19"/>
  <c r="Y19"/>
  <c r="T18"/>
  <c r="F25"/>
  <c r="D25"/>
  <c r="F24"/>
  <c r="E24"/>
  <c r="D24"/>
  <c r="C24"/>
  <c r="T12"/>
  <c r="V12"/>
  <c r="X12"/>
  <c r="V15"/>
  <c r="Z9"/>
  <c r="U9"/>
  <c r="W9"/>
  <c r="Y9"/>
  <c r="V9"/>
  <c r="X9"/>
  <c r="T6"/>
  <c r="V6"/>
  <c r="X6"/>
  <c r="V7"/>
  <c r="X7"/>
  <c r="B24"/>
  <c r="C25"/>
  <c r="E25"/>
  <c r="Y7"/>
  <c r="B25"/>
  <c r="Y4"/>
  <c r="U6"/>
  <c r="W6"/>
  <c r="U7"/>
  <c r="W7"/>
  <c r="Y6"/>
  <c r="Y3"/>
  <c r="AA21"/>
  <c r="I25"/>
  <c r="AA25" s="1"/>
  <c r="T4"/>
  <c r="X4"/>
  <c r="V4"/>
  <c r="W4"/>
  <c r="U4"/>
  <c r="T3"/>
  <c r="X3"/>
  <c r="U3"/>
  <c r="W3"/>
  <c r="V3"/>
  <c r="Q25"/>
  <c r="Q24"/>
  <c r="P25"/>
  <c r="O25"/>
  <c r="X25" s="1"/>
  <c r="N25"/>
  <c r="M25"/>
  <c r="L25"/>
  <c r="K25"/>
  <c r="P24"/>
  <c r="N24"/>
  <c r="L24"/>
  <c r="U24" s="1"/>
  <c r="O24"/>
  <c r="X24" s="1"/>
  <c r="M24"/>
  <c r="K24"/>
  <c r="H25"/>
  <c r="G25"/>
  <c r="H24"/>
  <c r="G24"/>
  <c r="G4" i="16"/>
  <c r="C4"/>
  <c r="Z25" i="29" l="1"/>
  <c r="W24"/>
  <c r="V25"/>
  <c r="V24"/>
  <c r="T25"/>
  <c r="U25"/>
  <c r="W25"/>
  <c r="T24"/>
  <c r="Y24"/>
  <c r="Y25"/>
  <c r="Z24"/>
</calcChain>
</file>

<file path=xl/sharedStrings.xml><?xml version="1.0" encoding="utf-8"?>
<sst xmlns="http://schemas.openxmlformats.org/spreadsheetml/2006/main" count="3788" uniqueCount="957">
  <si>
    <t>Acidic Slime</t>
  </si>
  <si>
    <t>Caravan Escort</t>
  </si>
  <si>
    <t>Elite Vanguard</t>
  </si>
  <si>
    <t>Akrasan Squire</t>
  </si>
  <si>
    <t>Ikiral Outrider</t>
  </si>
  <si>
    <t>Journey to Nowhere</t>
  </si>
  <si>
    <t>Kabira Vindicator</t>
  </si>
  <si>
    <t>Knight of Cliffhaven</t>
  </si>
  <si>
    <t>Kor Hookmaster</t>
  </si>
  <si>
    <t>Kor Sanctifiers</t>
  </si>
  <si>
    <t>Kor Skyfisher</t>
  </si>
  <si>
    <t>Mammoth Umbra</t>
  </si>
  <si>
    <t>Oblivion Ring</t>
  </si>
  <si>
    <t>Oust</t>
  </si>
  <si>
    <t>Serra Angel</t>
  </si>
  <si>
    <t>Sanctum Gargoyle</t>
  </si>
  <si>
    <t>Shepherd of the Lost</t>
  </si>
  <si>
    <t>Sigiled Paladin</t>
  </si>
  <si>
    <t>Totem-Guide Hartebeast</t>
  </si>
  <si>
    <t>Wall of Omens</t>
  </si>
  <si>
    <t>Calcite Snapper</t>
  </si>
  <si>
    <t>Courier's Capsule</t>
  </si>
  <si>
    <t>Domestication</t>
  </si>
  <si>
    <t>Into the Roil</t>
  </si>
  <si>
    <t>Merfolk Looter</t>
  </si>
  <si>
    <t>Mnemonic Wall</t>
  </si>
  <si>
    <t>Narcolepsy</t>
  </si>
  <si>
    <t>Ponder</t>
  </si>
  <si>
    <t>Sea Gate Oracle</t>
  </si>
  <si>
    <t>Skywatcher Adept</t>
  </si>
  <si>
    <t>Sleep</t>
  </si>
  <si>
    <t>Absorb Vis</t>
  </si>
  <si>
    <t>Bloodhusk Ritualist</t>
  </si>
  <si>
    <t>Bloodrite Invoker</t>
  </si>
  <si>
    <t>Cadaver Imp</t>
  </si>
  <si>
    <t>Disfigure</t>
  </si>
  <si>
    <t>Doom Blade</t>
  </si>
  <si>
    <t>Executioner's Capsule</t>
  </si>
  <si>
    <t>Gatekeeper of Malakir</t>
  </si>
  <si>
    <t>Heartstabber Mosquito</t>
  </si>
  <si>
    <t>Null Champion</t>
  </si>
  <si>
    <t>Sign in Blood</t>
  </si>
  <si>
    <t>Vampire Nighthawk</t>
  </si>
  <si>
    <t>Vendetta</t>
  </si>
  <si>
    <t>Viscera Dragger</t>
  </si>
  <si>
    <t>Zulaport Enforcer</t>
  </si>
  <si>
    <t>Battle-Rattle Shaman</t>
  </si>
  <si>
    <t>Burst Lightning</t>
  </si>
  <si>
    <t>Emrakul's Hatcher</t>
  </si>
  <si>
    <t>Flame Slash</t>
  </si>
  <si>
    <t>Lightning Bolt</t>
  </si>
  <si>
    <t>Lust for War</t>
  </si>
  <si>
    <t>Plated Geopede</t>
  </si>
  <si>
    <t>Resounding Thunder</t>
  </si>
  <si>
    <t>Searing Blaze</t>
  </si>
  <si>
    <t>Staggershock</t>
  </si>
  <si>
    <t>Vithian Stinger</t>
  </si>
  <si>
    <t>Volcanic Fallout</t>
  </si>
  <si>
    <t>Bestial Menace</t>
  </si>
  <si>
    <t>Court Archers</t>
  </si>
  <si>
    <t>Elvish Visionary</t>
  </si>
  <si>
    <t>Explore</t>
  </si>
  <si>
    <t>Harrow</t>
  </si>
  <si>
    <t>Jungle Weaver</t>
  </si>
  <si>
    <t>Kozilek's Predator</t>
  </si>
  <si>
    <t>Llanowar Elves</t>
  </si>
  <si>
    <t>Mold Shambler</t>
  </si>
  <si>
    <t>Ondu Giant</t>
  </si>
  <si>
    <t>River Boa</t>
  </si>
  <si>
    <t>Vines of Vastwood</t>
  </si>
  <si>
    <t>Esper Cormorants</t>
  </si>
  <si>
    <t>Glassdust Hulk</t>
  </si>
  <si>
    <t>Kiss of the Amesha</t>
  </si>
  <si>
    <t>Agony Warp</t>
  </si>
  <si>
    <t>Architects of Will</t>
  </si>
  <si>
    <t>Kathari Remnant</t>
  </si>
  <si>
    <t>Tidehollow Strix</t>
  </si>
  <si>
    <t>Bituminous Blast</t>
  </si>
  <si>
    <t>Blightning</t>
  </si>
  <si>
    <t>Monstrous Carabid</t>
  </si>
  <si>
    <t>Terminate</t>
  </si>
  <si>
    <t>Branching Bolt</t>
  </si>
  <si>
    <t>Behemoth Sledge</t>
  </si>
  <si>
    <t>Enlisted Wurm</t>
  </si>
  <si>
    <t>Pale Recluse</t>
  </si>
  <si>
    <t>Qasali Pridemage</t>
  </si>
  <si>
    <t>Slave of Bolas</t>
  </si>
  <si>
    <t>Giant Ambush Beetle</t>
  </si>
  <si>
    <t>Messenger Falcons</t>
  </si>
  <si>
    <t>Dreamstone Hedron</t>
  </si>
  <si>
    <t>Evolving Wilds</t>
  </si>
  <si>
    <t>Pilgrim's Eye</t>
  </si>
  <si>
    <t>Prophetic Prism</t>
  </si>
  <si>
    <t>Teetering Peaks</t>
  </si>
  <si>
    <t>Terramorphic Expanse</t>
  </si>
  <si>
    <t>Ulamog's Crusher</t>
  </si>
  <si>
    <t>Mother of Runes</t>
  </si>
  <si>
    <t>Celestial Crusader</t>
  </si>
  <si>
    <t>Changeling Hero</t>
  </si>
  <si>
    <t>Cloudgoat Ranger</t>
  </si>
  <si>
    <t>Descendant of Kiyomaro</t>
  </si>
  <si>
    <t>Duergar Hedge-Mage</t>
  </si>
  <si>
    <t>Griffin Guide</t>
  </si>
  <si>
    <t>Kitchen Finks</t>
  </si>
  <si>
    <t>Knight of Meadowgrain</t>
  </si>
  <si>
    <t>Mulldrifter</t>
  </si>
  <si>
    <t>Errant Ephemeron</t>
  </si>
  <si>
    <t>Fathom Seer</t>
  </si>
  <si>
    <t>Shaper Parasite</t>
  </si>
  <si>
    <t>Willbender</t>
  </si>
  <si>
    <t>Gathan Raiders</t>
  </si>
  <si>
    <t>Zombie Cutthroat</t>
  </si>
  <si>
    <t>Amrou Scout</t>
  </si>
  <si>
    <t>Defiant Vanguard</t>
  </si>
  <si>
    <t>Steppe Lynx</t>
  </si>
  <si>
    <t>Repeal</t>
  </si>
  <si>
    <t>Fiery Temper</t>
  </si>
  <si>
    <t>Sudden Shock</t>
  </si>
  <si>
    <t>Firebolt</t>
  </si>
  <si>
    <t>Mogg Fanatic</t>
  </si>
  <si>
    <t>Ana Battlemage</t>
  </si>
  <si>
    <t>Plumeveil</t>
  </si>
  <si>
    <t>Ashenmoor Gouger</t>
  </si>
  <si>
    <t>Wasp Lancer</t>
  </si>
  <si>
    <t>Serrated Arrows</t>
  </si>
  <si>
    <t>Mystical Teachings</t>
  </si>
  <si>
    <t>Ichor Slick</t>
  </si>
  <si>
    <t>Enslave</t>
  </si>
  <si>
    <t>Sulfur Elemental</t>
  </si>
  <si>
    <t>Albino Troll</t>
  </si>
  <si>
    <t>Arrogant Wurm</t>
  </si>
  <si>
    <t>Azorius Guildmage</t>
  </si>
  <si>
    <t>Dimir Guildmage</t>
  </si>
  <si>
    <t>Rakdos Guildmage</t>
  </si>
  <si>
    <t>Selesnya Guildmage</t>
  </si>
  <si>
    <t>Curse of Chains</t>
  </si>
  <si>
    <t>Prismatic Lens</t>
  </si>
  <si>
    <t>Urza's Factory</t>
  </si>
  <si>
    <t>Shriekmaw</t>
  </si>
  <si>
    <t>Sudden Death</t>
  </si>
  <si>
    <t>Azorius Chancery</t>
  </si>
  <si>
    <t>Dimir Aqueduct</t>
  </si>
  <si>
    <t>Rakdos Carnarium</t>
  </si>
  <si>
    <t>Gruul Turf</t>
  </si>
  <si>
    <t>Selesnya Sanctuary</t>
  </si>
  <si>
    <t>Orzhov Basilica</t>
  </si>
  <si>
    <t>Golgari Rot Farm</t>
  </si>
  <si>
    <t>Izzet Boilerworks</t>
  </si>
  <si>
    <t>Boros Garrison</t>
  </si>
  <si>
    <t>Simic Growth Chamber</t>
  </si>
  <si>
    <t>Aether Vial</t>
  </si>
  <si>
    <t>Aether Spellbomb</t>
  </si>
  <si>
    <t>Pyrite Spellbomb</t>
  </si>
  <si>
    <t>Bonesplitter</t>
  </si>
  <si>
    <t>Condescend</t>
  </si>
  <si>
    <t>Spiketail Drakeling</t>
  </si>
  <si>
    <t>Elves of Deep Shadow</t>
  </si>
  <si>
    <t>Goldmeadow Harrier</t>
  </si>
  <si>
    <t>Seal of Fire</t>
  </si>
  <si>
    <t>Sensei's Divining Top</t>
  </si>
  <si>
    <t>Sunlance</t>
  </si>
  <si>
    <t>Tattermunge Maniac</t>
  </si>
  <si>
    <t>Thrill of the Hunt</t>
  </si>
  <si>
    <t>Basking Rootwalla</t>
  </si>
  <si>
    <t>Wayfarer's Bauble</t>
  </si>
  <si>
    <t>Blightspeaker</t>
  </si>
  <si>
    <t>Tidehollow Sculler</t>
  </si>
  <si>
    <t>Dauthi Slayer</t>
  </si>
  <si>
    <t>Edge of Autumn</t>
  </si>
  <si>
    <t>Gaea's Blessing</t>
  </si>
  <si>
    <t>Grim Harvest</t>
  </si>
  <si>
    <t>Incinerate</t>
  </si>
  <si>
    <t>Izzet Guildmage</t>
  </si>
  <si>
    <t>Isochron Scepter</t>
  </si>
  <si>
    <t>Lash Out</t>
  </si>
  <si>
    <t>Lightning Greaves</t>
  </si>
  <si>
    <t>Lightning Helix</t>
  </si>
  <si>
    <t>Looter il-Kor</t>
  </si>
  <si>
    <t>Mana Leak</t>
  </si>
  <si>
    <t>Mire Boa</t>
  </si>
  <si>
    <t>Mistmeadow Witch</t>
  </si>
  <si>
    <t>Strangling Soot</t>
  </si>
  <si>
    <t>Court Hussar</t>
  </si>
  <si>
    <t>Putrid Leech</t>
  </si>
  <si>
    <t>Remand</t>
  </si>
  <si>
    <t>Sakura-Tribe Elder</t>
  </si>
  <si>
    <t>Scarscale Ritual</t>
  </si>
  <si>
    <t>Smallpox</t>
  </si>
  <si>
    <t>Sprout Swarm</t>
  </si>
  <si>
    <t>Squealing Devil</t>
  </si>
  <si>
    <t>Temporal Isolation</t>
  </si>
  <si>
    <t>Terror</t>
  </si>
  <si>
    <t>Trip Noose</t>
  </si>
  <si>
    <t>Arrest</t>
  </si>
  <si>
    <t>Carven Caryatid</t>
  </si>
  <si>
    <t>Chittering Rats</t>
  </si>
  <si>
    <t>Compulsive Research</t>
  </si>
  <si>
    <t>Consult the Necrosages</t>
  </si>
  <si>
    <t>Crystal Shard</t>
  </si>
  <si>
    <t>Electrolyze</t>
  </si>
  <si>
    <t>Eternal Witness</t>
  </si>
  <si>
    <t>Galvanic Arc</t>
  </si>
  <si>
    <t>Ghost-Lit Raider</t>
  </si>
  <si>
    <t>Ghostly Prison</t>
  </si>
  <si>
    <t>Grafted Wargear</t>
  </si>
  <si>
    <t>Hunting Moa</t>
  </si>
  <si>
    <t>Hideous Laughter</t>
  </si>
  <si>
    <t>Inner-Flame Igniter</t>
  </si>
  <si>
    <t>Kodama's Reach</t>
  </si>
  <si>
    <t>Loxodon Warhammer</t>
  </si>
  <si>
    <t>Marshalling Cry</t>
  </si>
  <si>
    <t>Minister of Impediments</t>
  </si>
  <si>
    <t>Mortify</t>
  </si>
  <si>
    <t>Putrefy</t>
  </si>
  <si>
    <t>Phyrexian Rager</t>
  </si>
  <si>
    <t>Psionic Blast</t>
  </si>
  <si>
    <t>Ronin Warclub</t>
  </si>
  <si>
    <t>Seal of Doom</t>
  </si>
  <si>
    <t>Search for Tomorrow</t>
  </si>
  <si>
    <t>Snakeform</t>
  </si>
  <si>
    <t>Spikeshot Goblin</t>
  </si>
  <si>
    <t>Stonecloaker</t>
  </si>
  <si>
    <t>Stupor</t>
  </si>
  <si>
    <t>Trinket Mage</t>
  </si>
  <si>
    <t>Trygon Predator</t>
  </si>
  <si>
    <t>Unmake</t>
  </si>
  <si>
    <t>Guardian of the Guildpact</t>
  </si>
  <si>
    <t>Kabuto Moth</t>
  </si>
  <si>
    <t>Kami of Ancient Law</t>
  </si>
  <si>
    <t>Keening Banshee</t>
  </si>
  <si>
    <t>Phantom Centaur</t>
  </si>
  <si>
    <t>Spectral Procession</t>
  </si>
  <si>
    <t>Faith's Fetters</t>
  </si>
  <si>
    <t>Ribbons of Night</t>
  </si>
  <si>
    <t>Sky Hussar</t>
  </si>
  <si>
    <t>Briarhorn</t>
  </si>
  <si>
    <t>Flame Javelin</t>
  </si>
  <si>
    <t>Marsh Flitter</t>
  </si>
  <si>
    <t>Incremental Blight</t>
  </si>
  <si>
    <t>Makeshift Mannequin</t>
  </si>
  <si>
    <t>Seedcradle Witch</t>
  </si>
  <si>
    <t>Sentinels of Glen Elendra</t>
  </si>
  <si>
    <t>Soul Snuffers</t>
  </si>
  <si>
    <t>Augur of Skulls</t>
  </si>
  <si>
    <t>Coal Stoker</t>
  </si>
  <si>
    <t>Faceless Butcher</t>
  </si>
  <si>
    <t>Foresee</t>
  </si>
  <si>
    <t>Giant Dustwasp</t>
  </si>
  <si>
    <t>Nacatl War-Pride</t>
  </si>
  <si>
    <t>Penumbra Spider</t>
  </si>
  <si>
    <t>Reckless Wurm</t>
  </si>
  <si>
    <t>Riftwing Cloudskate</t>
  </si>
  <si>
    <t>Chainer's Edict</t>
  </si>
  <si>
    <t>Harmonize</t>
  </si>
  <si>
    <t>Deep Analysis</t>
  </si>
  <si>
    <t>Elephant Guide</t>
  </si>
  <si>
    <t>Nimble Mongoose</t>
  </si>
  <si>
    <t>Thunderstaff</t>
  </si>
  <si>
    <t>Violent Eruption</t>
  </si>
  <si>
    <t>Werebear</t>
  </si>
  <si>
    <t>Wild Mongrel</t>
  </si>
  <si>
    <t>Barren Moor</t>
  </si>
  <si>
    <t>Fierce Empath</t>
  </si>
  <si>
    <t>Tranquil Thicket</t>
  </si>
  <si>
    <t>Krosan Tusker</t>
  </si>
  <si>
    <t>Nantuko Vigilante</t>
  </si>
  <si>
    <t>Skirk Marauder</t>
  </si>
  <si>
    <t>Slice and Dice</t>
  </si>
  <si>
    <t>Unburden</t>
  </si>
  <si>
    <t>Bone Shredder</t>
  </si>
  <si>
    <t>Dark Ritual</t>
  </si>
  <si>
    <t>Expunge</t>
  </si>
  <si>
    <t>Ghitu Slinger</t>
  </si>
  <si>
    <t>Keldon Champion</t>
  </si>
  <si>
    <t>Order of Yawgmoth</t>
  </si>
  <si>
    <t>Peregrine Drake</t>
  </si>
  <si>
    <t>Miscalculation</t>
  </si>
  <si>
    <t>Jackal Pup</t>
  </si>
  <si>
    <t>Rancor</t>
  </si>
  <si>
    <t>Rewind</t>
  </si>
  <si>
    <t>Serra's Embrace</t>
  </si>
  <si>
    <t>Shivan Raptor</t>
  </si>
  <si>
    <t>Simian Grunts</t>
  </si>
  <si>
    <t>Skittering Skirge</t>
  </si>
  <si>
    <t>Unearth</t>
  </si>
  <si>
    <t>Yavimaya Elder</t>
  </si>
  <si>
    <t>Armadillo Cloak</t>
  </si>
  <si>
    <t>Diversionary Tactics</t>
  </si>
  <si>
    <t>Exclude</t>
  </si>
  <si>
    <t>Goblin Legionnaire</t>
  </si>
  <si>
    <t>Hobble</t>
  </si>
  <si>
    <t>Jungle Barrier</t>
  </si>
  <si>
    <t>Phyrexian Gargantua</t>
  </si>
  <si>
    <t>Citanul Woodreaders</t>
  </si>
  <si>
    <t>Desecrator Hag</t>
  </si>
  <si>
    <t>Mana Tithe</t>
  </si>
  <si>
    <t>Golgari Guildmage</t>
  </si>
  <si>
    <t>Sunscape Battlemage</t>
  </si>
  <si>
    <t>Brainstorm</t>
  </si>
  <si>
    <t>Probe</t>
  </si>
  <si>
    <t>Recoil</t>
  </si>
  <si>
    <t>Thunderscape Battlemage</t>
  </si>
  <si>
    <t>Liliana's Specter</t>
  </si>
  <si>
    <t>Manic Vandal</t>
  </si>
  <si>
    <t>Air Servant</t>
  </si>
  <si>
    <t>Sylvan Ranger</t>
  </si>
  <si>
    <t>Elixer of Immortality</t>
  </si>
  <si>
    <t>Preordain</t>
  </si>
  <si>
    <t>Aether Adept</t>
  </si>
  <si>
    <t>Chandra's Outrage</t>
  </si>
  <si>
    <t>Water Servant</t>
  </si>
  <si>
    <t>Cultivate</t>
  </si>
  <si>
    <t>Kulrath Knight</t>
  </si>
  <si>
    <t>Ramosian Sergeant</t>
  </si>
  <si>
    <t>Stormfront Pegasus</t>
  </si>
  <si>
    <t>Castle Raptors</t>
  </si>
  <si>
    <t>Glimmerpoint Stag</t>
  </si>
  <si>
    <t>Remove Soul</t>
  </si>
  <si>
    <t>Sky-Eel School</t>
  </si>
  <si>
    <t>Ninja of the Deep Hours</t>
  </si>
  <si>
    <t>Repulse</t>
  </si>
  <si>
    <t>Hinder</t>
  </si>
  <si>
    <t>Henchfiend of Ukor</t>
  </si>
  <si>
    <t>Skinrender</t>
  </si>
  <si>
    <t>Arc Trail</t>
  </si>
  <si>
    <t>Nest Invader</t>
  </si>
  <si>
    <t>Pelakka Wurm</t>
  </si>
  <si>
    <t>Blind Hunter</t>
  </si>
  <si>
    <t>Assault Zeppelid</t>
  </si>
  <si>
    <t>Izzet Chronarch</t>
  </si>
  <si>
    <t>Noggle Bandit</t>
  </si>
  <si>
    <t>Bull Ceradon</t>
  </si>
  <si>
    <t>Horizon Spellbomb</t>
  </si>
  <si>
    <t>Crystal Ball</t>
  </si>
  <si>
    <t>Darksteel Sentinel</t>
  </si>
  <si>
    <t>Whispersilk Cloak</t>
  </si>
  <si>
    <t>Garruk's Packleader</t>
  </si>
  <si>
    <t>Counterspell</t>
  </si>
  <si>
    <t>Stalking Stones</t>
  </si>
  <si>
    <t>Mishra's Factory</t>
  </si>
  <si>
    <t>Contagion Clasp</t>
  </si>
  <si>
    <t>Reassembling Skeleton</t>
  </si>
  <si>
    <t>Demonic Tutor</t>
  </si>
  <si>
    <t>Panic Spellbomb</t>
  </si>
  <si>
    <t>Perilous Myr</t>
  </si>
  <si>
    <t>Furnace Celebration</t>
  </si>
  <si>
    <t>Mogg War Marshall</t>
  </si>
  <si>
    <t>Magma Burst</t>
  </si>
  <si>
    <t>Dross Golem</t>
  </si>
  <si>
    <t>Oxidda Golem</t>
  </si>
  <si>
    <t>Spire Golem</t>
  </si>
  <si>
    <t>Razor Golem</t>
  </si>
  <si>
    <t>Tangle Golem</t>
  </si>
  <si>
    <t>Arc Lightning</t>
  </si>
  <si>
    <t>Razor Hippogriff</t>
  </si>
  <si>
    <t>Volition Reins</t>
  </si>
  <si>
    <t>Fireblast</t>
  </si>
  <si>
    <t>Flametongue Kavu</t>
  </si>
  <si>
    <t>Forbidding Watchtower</t>
  </si>
  <si>
    <t>Faerie Conclave</t>
  </si>
  <si>
    <t>Cabal Pit</t>
  </si>
  <si>
    <t>COMMONS</t>
  </si>
  <si>
    <t>UNCOMMONS</t>
  </si>
  <si>
    <t>Big Game Hunter</t>
  </si>
  <si>
    <t>Swords to Plowshares</t>
  </si>
  <si>
    <t>Zoetic Cavern</t>
  </si>
  <si>
    <t>Dawnglare Invoker</t>
  </si>
  <si>
    <t>Carrion Feeder</t>
  </si>
  <si>
    <t>Vampire Lacerator</t>
  </si>
  <si>
    <t>Krosan Verge</t>
  </si>
  <si>
    <t>Fireslinger</t>
  </si>
  <si>
    <t>Snuff Out</t>
  </si>
  <si>
    <t>ERRATA</t>
  </si>
  <si>
    <t>TOTALS</t>
  </si>
  <si>
    <t>Vulshok Replica</t>
  </si>
  <si>
    <t>Culling Dais</t>
  </si>
  <si>
    <t>Sylvok Lifestaff</t>
  </si>
  <si>
    <t>Treasure Hunt</t>
  </si>
  <si>
    <t>Burrenton Bombardier</t>
  </si>
  <si>
    <t>Wonder</t>
  </si>
  <si>
    <t>Cloudchaser Kestrel</t>
  </si>
  <si>
    <t>Halimar Wavewatch</t>
  </si>
  <si>
    <t>Okiba-Gang Shinobi</t>
  </si>
  <si>
    <t>Etched Oracle</t>
  </si>
  <si>
    <t>Icy Manipulator</t>
  </si>
  <si>
    <t>Barbarian Ring</t>
  </si>
  <si>
    <t>Hearth Kami</t>
  </si>
  <si>
    <t>Swell of Courage</t>
  </si>
  <si>
    <t>Ghost Ship</t>
  </si>
  <si>
    <t>Fireball</t>
  </si>
  <si>
    <t>Ember Hauler</t>
  </si>
  <si>
    <t>FIXED LEVELERS</t>
  </si>
  <si>
    <t>Kathari Bomber</t>
  </si>
  <si>
    <t>Apex Hawks</t>
  </si>
  <si>
    <t>Durkwood Baloth</t>
  </si>
  <si>
    <t>Shambling Shell</t>
  </si>
  <si>
    <t>Spike Colony</t>
  </si>
  <si>
    <t>Merfolk</t>
  </si>
  <si>
    <t>Rebels</t>
  </si>
  <si>
    <t>Morph</t>
  </si>
  <si>
    <t>Wizards</t>
  </si>
  <si>
    <t>Lumithread Field</t>
  </si>
  <si>
    <t>Dragon Wings</t>
  </si>
  <si>
    <t>Warriors</t>
  </si>
  <si>
    <t>Meadowboon</t>
  </si>
  <si>
    <t>Shamans</t>
  </si>
  <si>
    <t>Momentary Blink</t>
  </si>
  <si>
    <t>Whitemane Lion</t>
  </si>
  <si>
    <t>Death Denied</t>
  </si>
  <si>
    <t>Corrupted Conscience</t>
  </si>
  <si>
    <t>Treasure Mage</t>
  </si>
  <si>
    <t>Goblin Wardriver</t>
  </si>
  <si>
    <t>Lead the Stampede</t>
  </si>
  <si>
    <t>Mortarpod</t>
  </si>
  <si>
    <t>Peace Strider</t>
  </si>
  <si>
    <t>Pierce Strider</t>
  </si>
  <si>
    <t>Plaxcaster Frogling</t>
  </si>
  <si>
    <t>Deepcavern Imp</t>
  </si>
  <si>
    <t>Macabre Waltz</t>
  </si>
  <si>
    <t>Mask of Memory</t>
  </si>
  <si>
    <t>Nightshade Assassin</t>
  </si>
  <si>
    <t>Urborg Syphon-Mage</t>
  </si>
  <si>
    <t>Vanish into Memory</t>
  </si>
  <si>
    <t>Llanowar Reborn</t>
  </si>
  <si>
    <t>Rupture Spire</t>
  </si>
  <si>
    <t>Calciderm</t>
  </si>
  <si>
    <t>Scroll Thief</t>
  </si>
  <si>
    <t>Pestermite</t>
  </si>
  <si>
    <t>Infiltrator il-Kor</t>
  </si>
  <si>
    <t>Madness Cards</t>
  </si>
  <si>
    <t>Fume Spitter</t>
  </si>
  <si>
    <t>Rathi Trapper</t>
  </si>
  <si>
    <t>Keldon Marauders</t>
  </si>
  <si>
    <t>Goblin Patrol</t>
  </si>
  <si>
    <t>Zektar Shrine Expedition</t>
  </si>
  <si>
    <t>Wildheart Invoker</t>
  </si>
  <si>
    <t>Blastoderm</t>
  </si>
  <si>
    <t>Thornweald Archer</t>
  </si>
  <si>
    <t>Wickerbough Elder</t>
  </si>
  <si>
    <t>Civic Wayfinder</t>
  </si>
  <si>
    <t>Moriok Replica</t>
  </si>
  <si>
    <t>Sylvok Replica</t>
  </si>
  <si>
    <t>Arcane Spyglass</t>
  </si>
  <si>
    <t>Forbid</t>
  </si>
  <si>
    <t>Sage of Fables</t>
  </si>
  <si>
    <t>Imperious Perfect</t>
  </si>
  <si>
    <t>Deadwood Treefolk</t>
  </si>
  <si>
    <t>Joraga Treespeaker</t>
  </si>
  <si>
    <t>Bramblewood Paragon</t>
  </si>
  <si>
    <t>Boggart Ram-Gang</t>
  </si>
  <si>
    <t>Gruul Guildmage</t>
  </si>
  <si>
    <t>Murderous Redcap</t>
  </si>
  <si>
    <t>Calciform Pools</t>
  </si>
  <si>
    <t>Bound in Silence</t>
  </si>
  <si>
    <t>Muck Drubb</t>
  </si>
  <si>
    <t>Accorder Paladin</t>
  </si>
  <si>
    <t>Skinwing</t>
  </si>
  <si>
    <t>Strandwalker</t>
  </si>
  <si>
    <t>Kuldotha Flamefiend</t>
  </si>
  <si>
    <t>Lonely Sandbar</t>
  </si>
  <si>
    <t>Flayer Husk</t>
  </si>
  <si>
    <t>Creatures</t>
  </si>
  <si>
    <t>Sanctum Plowbeast</t>
  </si>
  <si>
    <t>Serum Raker</t>
  </si>
  <si>
    <t>Arc Blade</t>
  </si>
  <si>
    <t>Keldon Halberdier</t>
  </si>
  <si>
    <t>Colossal Might</t>
  </si>
  <si>
    <t>Sigil of the Nayan Gods</t>
  </si>
  <si>
    <t>Ramosian Captain</t>
  </si>
  <si>
    <t>Psychic Drain</t>
  </si>
  <si>
    <t>Silhana Ledgewalker</t>
  </si>
  <si>
    <t>Sylvan Library</t>
  </si>
  <si>
    <t>Fire Imp</t>
  </si>
  <si>
    <t>Beast Attack</t>
  </si>
  <si>
    <t>Molten Rain</t>
  </si>
  <si>
    <t>Pillage</t>
  </si>
  <si>
    <t>Reckless Charge</t>
  </si>
  <si>
    <t>Removal</t>
  </si>
  <si>
    <t>Mwonvuli Acid Moss</t>
  </si>
  <si>
    <t>Booster Tutor</t>
  </si>
  <si>
    <t>Stalking Yeti</t>
  </si>
  <si>
    <t>Skyknight Legionnaire</t>
  </si>
  <si>
    <t>Human</t>
  </si>
  <si>
    <t>Humans</t>
  </si>
  <si>
    <t>Vampire</t>
  </si>
  <si>
    <t>Emberwilde Augur</t>
  </si>
  <si>
    <t>Squadron Hawk</t>
  </si>
  <si>
    <t>Scuzzback Marauders</t>
  </si>
  <si>
    <t>Shimmering Glasskite</t>
  </si>
  <si>
    <t>Thought Courier</t>
  </si>
  <si>
    <t>Porcelain Legionnaire</t>
  </si>
  <si>
    <t>Gitaxian Probe</t>
  </si>
  <si>
    <t>Impaler Shrike</t>
  </si>
  <si>
    <t>Spined Thopter</t>
  </si>
  <si>
    <t>Tezzeret's Gambit</t>
  </si>
  <si>
    <t>Blind Zealot</t>
  </si>
  <si>
    <t>Dismember</t>
  </si>
  <si>
    <t>Entomber Exarch</t>
  </si>
  <si>
    <t>Grim Affliction</t>
  </si>
  <si>
    <t>Pith Driller</t>
  </si>
  <si>
    <t>Vault Skirge</t>
  </si>
  <si>
    <t>Volt Charge</t>
  </si>
  <si>
    <t>Brutalizer Exarch</t>
  </si>
  <si>
    <t>Necropouncer</t>
  </si>
  <si>
    <t>Defiant Falcon</t>
  </si>
  <si>
    <t>Ramosian Commander</t>
  </si>
  <si>
    <t>Spire Monitor</t>
  </si>
  <si>
    <t>Tin Street Hooligan</t>
  </si>
  <si>
    <t>Neurok Replica</t>
  </si>
  <si>
    <t>Viridian Claw</t>
  </si>
  <si>
    <t>Tromp the Domains</t>
  </si>
  <si>
    <t>Slash Panther</t>
  </si>
  <si>
    <t>Spell Burst</t>
  </si>
  <si>
    <t>Plaxmanta</t>
  </si>
  <si>
    <t>Go For the Throat</t>
  </si>
  <si>
    <t>Tormentor Exarch</t>
  </si>
  <si>
    <t>Artillerize</t>
  </si>
  <si>
    <t>Ichor Wellspring</t>
  </si>
  <si>
    <t>Piston Sledge</t>
  </si>
  <si>
    <t>Proliferate</t>
  </si>
  <si>
    <t>Madness</t>
  </si>
  <si>
    <t>Nucklavee</t>
  </si>
  <si>
    <t>Dreadship Reef</t>
  </si>
  <si>
    <t>Molten Slagheap</t>
  </si>
  <si>
    <t>Fungul Reaches</t>
  </si>
  <si>
    <t>Arcane Sanctum</t>
  </si>
  <si>
    <t>Crumbling Necropolis</t>
  </si>
  <si>
    <t>Savage Lands</t>
  </si>
  <si>
    <t>Jungle Shrine</t>
  </si>
  <si>
    <t>Seaside Citadel</t>
  </si>
  <si>
    <t>Order of Leitbur</t>
  </si>
  <si>
    <t>Capsize</t>
  </si>
  <si>
    <t>Fledgling Djinn</t>
  </si>
  <si>
    <t>Order of the Ebon Hand</t>
  </si>
  <si>
    <t>Crypt Rats</t>
  </si>
  <si>
    <t>Keldon Vandals</t>
  </si>
  <si>
    <t>Wrecking Ball</t>
  </si>
  <si>
    <t>Kird Ape</t>
  </si>
  <si>
    <t>Steamcore Weird</t>
  </si>
  <si>
    <t>Pillory of the Sleepless</t>
  </si>
  <si>
    <t>Mind Stone</t>
  </si>
  <si>
    <t>Esper Panorama</t>
  </si>
  <si>
    <t>Grixis Panorama</t>
  </si>
  <si>
    <t>Jund Panorama</t>
  </si>
  <si>
    <t>Naya Panorama</t>
  </si>
  <si>
    <t>Fieldmist Borderpost</t>
  </si>
  <si>
    <t>Mistvein Borderpost</t>
  </si>
  <si>
    <t>Veinfire Borderpost</t>
  </si>
  <si>
    <t>Firewild Borderpost</t>
  </si>
  <si>
    <t>Wildfield Borderpost</t>
  </si>
  <si>
    <t>Quicksand</t>
  </si>
  <si>
    <t>Garruk's Companion</t>
  </si>
  <si>
    <t>Lone Missionary</t>
  </si>
  <si>
    <t>Immolating Souleater</t>
  </si>
  <si>
    <t>Coalition Honor Guard</t>
  </si>
  <si>
    <t>Revoke Existence</t>
  </si>
  <si>
    <t>Moment's Peace</t>
  </si>
  <si>
    <t>Carnophage</t>
  </si>
  <si>
    <t>Dauthi Marauder</t>
  </si>
  <si>
    <t>Spur Grappler</t>
  </si>
  <si>
    <t>Raging Minotaur</t>
  </si>
  <si>
    <t>Borderland Ranger</t>
  </si>
  <si>
    <t>Elephant Ambush</t>
  </si>
  <si>
    <t>Temporal Spring</t>
  </si>
  <si>
    <t>Quicksilver Dagger</t>
  </si>
  <si>
    <t>Wild Nacatl</t>
  </si>
  <si>
    <t>Spawning Pit</t>
  </si>
  <si>
    <t>Genju of the Fields</t>
  </si>
  <si>
    <t>Loam Lion</t>
  </si>
  <si>
    <t>Flickerwisp</t>
  </si>
  <si>
    <t>Propaganda</t>
  </si>
  <si>
    <t>Annex</t>
  </si>
  <si>
    <t>Clone</t>
  </si>
  <si>
    <t>Dismiss</t>
  </si>
  <si>
    <t>Soratami Savant</t>
  </si>
  <si>
    <t>Jetting Glasskite</t>
  </si>
  <si>
    <t>Avalanche Riders</t>
  </si>
  <si>
    <t>Beast Within</t>
  </si>
  <si>
    <t>Vengeful Rebirth</t>
  </si>
  <si>
    <t>Stun Sniper</t>
  </si>
  <si>
    <t>Deglamer</t>
  </si>
  <si>
    <t>Mycosynth Wellspring</t>
  </si>
  <si>
    <t>Valley Rannet</t>
  </si>
  <si>
    <t>Leonin Relic-Warder</t>
  </si>
  <si>
    <t>Act of Aggression</t>
  </si>
  <si>
    <t>Voice of All</t>
  </si>
  <si>
    <t>Evincar's Justice</t>
  </si>
  <si>
    <t>Anger</t>
  </si>
  <si>
    <t>Temple of the False God</t>
  </si>
  <si>
    <t>Auramancer</t>
  </si>
  <si>
    <t>Gideon's Lawkeeper</t>
  </si>
  <si>
    <t>Timely Reinforcements</t>
  </si>
  <si>
    <t>Azure Mage</t>
  </si>
  <si>
    <t>Phantasmal Bear</t>
  </si>
  <si>
    <t>Blood Ogre</t>
  </si>
  <si>
    <t>Volcanic Dragon</t>
  </si>
  <si>
    <t>Arachnus Web</t>
  </si>
  <si>
    <t>Stingerfling Spider</t>
  </si>
  <si>
    <t>Corrupt</t>
  </si>
  <si>
    <t>Dominate</t>
  </si>
  <si>
    <t>Ogre Arsonist</t>
  </si>
  <si>
    <t>Sengir Vampire</t>
  </si>
  <si>
    <t>Centaur Chieftain</t>
  </si>
  <si>
    <t>Remember the Fallen</t>
  </si>
  <si>
    <t>Merfolk Mesmerist</t>
  </si>
  <si>
    <t>Tormented Soul</t>
  </si>
  <si>
    <t>Goblin Fireslinger</t>
  </si>
  <si>
    <t>Vampire Outcasts</t>
  </si>
  <si>
    <t>Crimson Mage</t>
  </si>
  <si>
    <t>Stormblood Berserker</t>
  </si>
  <si>
    <t>Tectonic Rift</t>
  </si>
  <si>
    <t>Viridian Shaman</t>
  </si>
  <si>
    <t>Fortify</t>
  </si>
  <si>
    <t>Centaur Safeguard</t>
  </si>
  <si>
    <t>Tidings</t>
  </si>
  <si>
    <t>Wild Leotau</t>
  </si>
  <si>
    <t>Child of Night</t>
  </si>
  <si>
    <t>Compulsion</t>
  </si>
  <si>
    <t>Gorehorn Minotaurs</t>
  </si>
  <si>
    <t>Bonds of Faith</t>
  </si>
  <si>
    <t>Fiend Hunter</t>
  </si>
  <si>
    <t>Lantern Spirit</t>
  </si>
  <si>
    <t>Murder of Crows</t>
  </si>
  <si>
    <t>Stitched Drake</t>
  </si>
  <si>
    <t>Dead Weight</t>
  </si>
  <si>
    <t>Diregraf Ghoul</t>
  </si>
  <si>
    <t>Markov Patrician</t>
  </si>
  <si>
    <t>Vampire Interloper</t>
  </si>
  <si>
    <t>Bloodcrazed Neonite</t>
  </si>
  <si>
    <t>Reckless Waif</t>
  </si>
  <si>
    <t>Avocyn's Pilgrim</t>
  </si>
  <si>
    <t>Make a Wish</t>
  </si>
  <si>
    <t>Blazing Torch</t>
  </si>
  <si>
    <t>Galvanic Juggernaut</t>
  </si>
  <si>
    <t>Unburial Rites</t>
  </si>
  <si>
    <t>Stave Off</t>
  </si>
  <si>
    <t>Firespout</t>
  </si>
  <si>
    <t>Genju of the Spires</t>
  </si>
  <si>
    <t>Wren's Run Vanquisher</t>
  </si>
  <si>
    <t>Goldmeadow Stalwart</t>
  </si>
  <si>
    <t>Silvergill Adept</t>
  </si>
  <si>
    <t>Flamekin Bladewhirl</t>
  </si>
  <si>
    <t>Hurricane</t>
  </si>
  <si>
    <t>Gerard's Verdict</t>
  </si>
  <si>
    <t>Noxious Revival</t>
  </si>
  <si>
    <t>CardName</t>
  </si>
  <si>
    <t>Color</t>
  </si>
  <si>
    <t>CMC</t>
  </si>
  <si>
    <t>Soldier</t>
  </si>
  <si>
    <t>Type1</t>
  </si>
  <si>
    <t>Type2</t>
  </si>
  <si>
    <t>White</t>
  </si>
  <si>
    <t>Knight</t>
  </si>
  <si>
    <t>Rebel</t>
  </si>
  <si>
    <t>Creature</t>
  </si>
  <si>
    <t>Level up</t>
  </si>
  <si>
    <t>Cat</t>
  </si>
  <si>
    <t>Exalted</t>
  </si>
  <si>
    <t>Blue</t>
  </si>
  <si>
    <t>Sorcery</t>
  </si>
  <si>
    <t>Artifact</t>
  </si>
  <si>
    <t>Beast</t>
  </si>
  <si>
    <t>Plainscycling</t>
  </si>
  <si>
    <t>Ability2</t>
  </si>
  <si>
    <t>Ability1</t>
  </si>
  <si>
    <t>Islandcycling</t>
  </si>
  <si>
    <t>Gold</t>
  </si>
  <si>
    <t>Rebelsearch</t>
  </si>
  <si>
    <t>First Strike</t>
  </si>
  <si>
    <t>Landfall</t>
  </si>
  <si>
    <t>Kithkin</t>
  </si>
  <si>
    <t>Leonin Skyhunter</t>
  </si>
  <si>
    <t>Kor</t>
  </si>
  <si>
    <t>Scout</t>
  </si>
  <si>
    <t>Bird</t>
  </si>
  <si>
    <t>Pegasus</t>
  </si>
  <si>
    <t>Spirit</t>
  </si>
  <si>
    <t>Monk</t>
  </si>
  <si>
    <t>Flying</t>
  </si>
  <si>
    <t>Flash</t>
  </si>
  <si>
    <t>Pro. black</t>
  </si>
  <si>
    <t>Vigilance</t>
  </si>
  <si>
    <t>Sac. Outlet</t>
  </si>
  <si>
    <t>Cleric</t>
  </si>
  <si>
    <t>Wizard</t>
  </si>
  <si>
    <t>Ballyknack Cohort</t>
  </si>
  <si>
    <t>Kicker</t>
  </si>
  <si>
    <t>Reinforce</t>
  </si>
  <si>
    <t>Gargoyle</t>
  </si>
  <si>
    <t>Flagbearer</t>
  </si>
  <si>
    <t>Shroud</t>
  </si>
  <si>
    <t>Vanishing</t>
  </si>
  <si>
    <t>Pro. Mono</t>
  </si>
  <si>
    <t>Antelope</t>
  </si>
  <si>
    <t>1-2 CMC Instants</t>
  </si>
  <si>
    <t>Sac. Outlets</t>
  </si>
  <si>
    <t>6 CMC Creatures</t>
  </si>
  <si>
    <t>Instant</t>
  </si>
  <si>
    <t>Enchantment</t>
  </si>
  <si>
    <t>Aura</t>
  </si>
  <si>
    <t>Sub Type1</t>
  </si>
  <si>
    <t>Sub Type2</t>
  </si>
  <si>
    <t>Sub Type3</t>
  </si>
  <si>
    <t>Flashback</t>
  </si>
  <si>
    <t>Cycling</t>
  </si>
  <si>
    <t>Positive Auras</t>
  </si>
  <si>
    <t>Negative Auras</t>
  </si>
  <si>
    <t>Active in GY</t>
  </si>
  <si>
    <t>Bear</t>
  </si>
  <si>
    <t>Illusion</t>
  </si>
  <si>
    <t>Scry</t>
  </si>
  <si>
    <t>Spellshaper</t>
  </si>
  <si>
    <t>Rogue</t>
  </si>
  <si>
    <t>Islandwalk</t>
  </si>
  <si>
    <t>Shadow</t>
  </si>
  <si>
    <t>Theme2</t>
  </si>
  <si>
    <t>Theme1</t>
  </si>
  <si>
    <t>Discard Outlet</t>
  </si>
  <si>
    <t>Discard Outlets</t>
  </si>
  <si>
    <t>Turtle</t>
  </si>
  <si>
    <t>Drake</t>
  </si>
  <si>
    <t>Thopter</t>
  </si>
  <si>
    <t>Faerie</t>
  </si>
  <si>
    <t>Buyback</t>
  </si>
  <si>
    <t>Ninja</t>
  </si>
  <si>
    <t>Weird</t>
  </si>
  <si>
    <t>Ninjutsu</t>
  </si>
  <si>
    <t>Regenerate</t>
  </si>
  <si>
    <t>Elemental</t>
  </si>
  <si>
    <t>Fish</t>
  </si>
  <si>
    <t>Wall</t>
  </si>
  <si>
    <t>Defender</t>
  </si>
  <si>
    <t>Evoke</t>
  </si>
  <si>
    <t>Suspend</t>
  </si>
  <si>
    <t>Basic landcycling</t>
  </si>
  <si>
    <t>Black</t>
  </si>
  <si>
    <t>Warrior</t>
  </si>
  <si>
    <t>Horror</t>
  </si>
  <si>
    <t>Intimidate</t>
  </si>
  <si>
    <t>Zombie</t>
  </si>
  <si>
    <t>Dauthi</t>
  </si>
  <si>
    <t>Imp</t>
  </si>
  <si>
    <t>Skeleton</t>
  </si>
  <si>
    <t>Djinn</t>
  </si>
  <si>
    <t>Pro. White</t>
  </si>
  <si>
    <t>Lifelink</t>
  </si>
  <si>
    <t>Recover</t>
  </si>
  <si>
    <t>Shaman</t>
  </si>
  <si>
    <t>Rat</t>
  </si>
  <si>
    <t>Specter</t>
  </si>
  <si>
    <t>Minion</t>
  </si>
  <si>
    <t>Haste</t>
  </si>
  <si>
    <t>Ogre</t>
  </si>
  <si>
    <t>Insect</t>
  </si>
  <si>
    <t>Nightmare</t>
  </si>
  <si>
    <t>Fear</t>
  </si>
  <si>
    <t>Twisted Abomination</t>
  </si>
  <si>
    <t>Swampcycling</t>
  </si>
  <si>
    <t>Red</t>
  </si>
  <si>
    <t>Green</t>
  </si>
  <si>
    <t>Colorless</t>
  </si>
  <si>
    <t>Goblin Bushwhacker</t>
  </si>
  <si>
    <t>Hound</t>
  </si>
  <si>
    <t>Goblin</t>
  </si>
  <si>
    <t>Echo</t>
  </si>
  <si>
    <t>Inner-Flame Acolyte</t>
  </si>
  <si>
    <t>Nomad</t>
  </si>
  <si>
    <t>Bloodthirst</t>
  </si>
  <si>
    <t>Rebound</t>
  </si>
  <si>
    <t>Minotaur</t>
  </si>
  <si>
    <t>Eldrazi</t>
  </si>
  <si>
    <t>Drone</t>
  </si>
  <si>
    <t>Hellbent</t>
  </si>
  <si>
    <t>Grazing Gladeheart</t>
  </si>
  <si>
    <t>Thundering Tanadon</t>
  </si>
  <si>
    <t>Elf</t>
  </si>
  <si>
    <t>Druid</t>
  </si>
  <si>
    <t>Lizard</t>
  </si>
  <si>
    <t>Archer</t>
  </si>
  <si>
    <t>Snake</t>
  </si>
  <si>
    <t>Ape</t>
  </si>
  <si>
    <t>Treefolk</t>
  </si>
  <si>
    <t>Spider</t>
  </si>
  <si>
    <t>Fungus</t>
  </si>
  <si>
    <t>Giant</t>
  </si>
  <si>
    <t>Kavu</t>
  </si>
  <si>
    <t>Reach</t>
  </si>
  <si>
    <t>Deathtouch</t>
  </si>
  <si>
    <t>Swampwalk</t>
  </si>
  <si>
    <t>Hexproof</t>
  </si>
  <si>
    <t>Trample</t>
  </si>
  <si>
    <t>Convoke</t>
  </si>
  <si>
    <t>Arcane</t>
  </si>
  <si>
    <t>Deadshot Minotaur</t>
  </si>
  <si>
    <t>Golem</t>
  </si>
  <si>
    <t>Advisor</t>
  </si>
  <si>
    <t>Bat</t>
  </si>
  <si>
    <t>Plant</t>
  </si>
  <si>
    <t>Hag</t>
  </si>
  <si>
    <t>Noggle</t>
  </si>
  <si>
    <t>Haunt</t>
  </si>
  <si>
    <t>Dredge</t>
  </si>
  <si>
    <t>Mountaincycling</t>
  </si>
  <si>
    <t>Forestcycling</t>
  </si>
  <si>
    <t>Persist</t>
  </si>
  <si>
    <t>Cascade</t>
  </si>
  <si>
    <t>Vulshok Morningstar</t>
  </si>
  <si>
    <t>Armillery Sphere</t>
  </si>
  <si>
    <t>Myr</t>
  </si>
  <si>
    <t>Berserker</t>
  </si>
  <si>
    <t>Equipment</t>
  </si>
  <si>
    <t>Annihilator</t>
  </si>
  <si>
    <t>Land</t>
  </si>
  <si>
    <t>Bant Panorama</t>
  </si>
  <si>
    <t>Battlecry</t>
  </si>
  <si>
    <t>Split-second</t>
  </si>
  <si>
    <t>Angel</t>
  </si>
  <si>
    <t>Hippogriff</t>
  </si>
  <si>
    <t>Fact of Fiction</t>
  </si>
  <si>
    <t>Shapeshifter</t>
  </si>
  <si>
    <t>Incarnation</t>
  </si>
  <si>
    <t>Dragon</t>
  </si>
  <si>
    <t>Assassin</t>
  </si>
  <si>
    <t>Removal Auras</t>
  </si>
  <si>
    <t>Goblin Bombardment</t>
  </si>
  <si>
    <t>Devil</t>
  </si>
  <si>
    <t>Barbarian</t>
  </si>
  <si>
    <t>Wurm</t>
  </si>
  <si>
    <t>Beastbreaker of Bala Ged</t>
  </si>
  <si>
    <t>Thornscape Battlemage</t>
  </si>
  <si>
    <t>Troll</t>
  </si>
  <si>
    <t>Centaur</t>
  </si>
  <si>
    <t>Ooze</t>
  </si>
  <si>
    <t>Pro. Black</t>
  </si>
  <si>
    <t>Threshold</t>
  </si>
  <si>
    <t>Inkfathom Infiltrator</t>
  </si>
  <si>
    <t>Bloodbraif Elf</t>
  </si>
  <si>
    <t>Fire/Ice</t>
  </si>
  <si>
    <t>Frog</t>
  </si>
  <si>
    <t>Mutant</t>
  </si>
  <si>
    <t>Ouphe</t>
  </si>
  <si>
    <t>Forecast</t>
  </si>
  <si>
    <t>Graft</t>
  </si>
  <si>
    <t>Wither</t>
  </si>
  <si>
    <t>Living weapon</t>
  </si>
  <si>
    <t>Construct</t>
  </si>
  <si>
    <t>Juggernaut</t>
  </si>
  <si>
    <t>Living Weapon</t>
  </si>
  <si>
    <t>Imprint</t>
  </si>
  <si>
    <t>Sunburst</t>
  </si>
  <si>
    <t>Indestructible</t>
  </si>
  <si>
    <t>White Creatures</t>
  </si>
  <si>
    <t>White Noncreatures</t>
  </si>
  <si>
    <t>Blue Creatures</t>
  </si>
  <si>
    <t>Blue Noncreatures</t>
  </si>
  <si>
    <t>Black Creatures</t>
  </si>
  <si>
    <t>Black Noncreatures</t>
  </si>
  <si>
    <t>Red Creatures</t>
  </si>
  <si>
    <t>Red Noncreatures</t>
  </si>
  <si>
    <t>Green Creatures</t>
  </si>
  <si>
    <t>Green Noncreatures</t>
  </si>
  <si>
    <t>Gold Creatures</t>
  </si>
  <si>
    <t>Gold Noncreatures</t>
  </si>
  <si>
    <t>Colorless Creatures</t>
  </si>
  <si>
    <t>Colorless Noncreatures</t>
  </si>
  <si>
    <t>Total Creatures</t>
  </si>
  <si>
    <t>Total Noncreatures</t>
  </si>
  <si>
    <t>Commons</t>
  </si>
  <si>
    <t>Uncommons</t>
  </si>
  <si>
    <t>Combined</t>
  </si>
  <si>
    <t>to reach</t>
  </si>
  <si>
    <t>Guardian Idol</t>
  </si>
  <si>
    <t>Shrine of Loyal Legions</t>
  </si>
  <si>
    <t>Identity</t>
  </si>
  <si>
    <t>Rating</t>
  </si>
  <si>
    <t>Discard</t>
  </si>
  <si>
    <t>Fixing</t>
  </si>
  <si>
    <t>MBC</t>
  </si>
  <si>
    <t>2for1</t>
  </si>
  <si>
    <t>Removal Creature</t>
  </si>
  <si>
    <t>Mana Sink</t>
  </si>
  <si>
    <t>2for1 Creature</t>
  </si>
  <si>
    <t>Aggro</t>
  </si>
  <si>
    <t>Theme Card</t>
  </si>
  <si>
    <t>Recursion</t>
  </si>
  <si>
    <t>Multiple Decks</t>
  </si>
  <si>
    <t>Flier</t>
  </si>
  <si>
    <t>Countermagic</t>
  </si>
  <si>
    <t>Bounce</t>
  </si>
  <si>
    <t>Roleplayer</t>
  </si>
  <si>
    <t>Looter</t>
  </si>
  <si>
    <t>Cantrip</t>
  </si>
  <si>
    <t>Art/Enc Removal</t>
  </si>
  <si>
    <t>Life Gain</t>
  </si>
  <si>
    <t>Pump</t>
  </si>
  <si>
    <t>LD</t>
  </si>
  <si>
    <t>Art Removal</t>
  </si>
  <si>
    <t>Tendrils of Corruption</t>
  </si>
  <si>
    <t>Burn</t>
  </si>
  <si>
    <t>Burn Creature</t>
  </si>
  <si>
    <t>Enc Removal</t>
  </si>
  <si>
    <t>Tutor</t>
  </si>
  <si>
    <t>Ramp</t>
  </si>
  <si>
    <t>Removal Land</t>
  </si>
  <si>
    <t>Tokens</t>
  </si>
  <si>
    <t>Spike</t>
  </si>
  <si>
    <t>Werewolf</t>
  </si>
  <si>
    <t>Hypnotic Specter</t>
  </si>
  <si>
    <t>Hybrid</t>
  </si>
  <si>
    <t>Invisible Stalker</t>
  </si>
  <si>
    <t>Brimstone Volley</t>
  </si>
  <si>
    <t>Dimir Signet</t>
  </si>
  <si>
    <t>Azorius Signet</t>
  </si>
  <si>
    <t>Izzet Signet</t>
  </si>
  <si>
    <t>Secluded Steppe</t>
  </si>
  <si>
    <t>Stitcher's Apprentice</t>
  </si>
  <si>
    <t>Homnculus</t>
  </si>
  <si>
    <t>Crossway Vampire</t>
  </si>
  <si>
    <t>Travel Preparations</t>
  </si>
  <si>
    <t>Bump in the Night</t>
  </si>
  <si>
    <t>Typhoid Rats</t>
  </si>
  <si>
    <t>Traveler's Amulet</t>
  </si>
  <si>
    <t>Silent Departure</t>
  </si>
  <si>
    <t>Village Ironsmith</t>
  </si>
  <si>
    <t>Transform</t>
  </si>
  <si>
    <t>Shimmering Grotto</t>
  </si>
  <si>
    <t>Forbidden Alchemy</t>
  </si>
  <si>
    <t>Mulch</t>
  </si>
  <si>
    <t>Feeling of Dread</t>
  </si>
  <si>
    <t>Indomitable Will</t>
  </si>
  <si>
    <t>Geistflame</t>
  </si>
  <si>
    <t>Falkenrath Noble</t>
  </si>
  <si>
    <t>Civilized Scholar</t>
  </si>
  <si>
    <t>Geistcatcther's Rig</t>
  </si>
  <si>
    <t>Skaab Goliath</t>
  </si>
  <si>
    <t>Unblockable</t>
  </si>
  <si>
    <t>Grasp of Phantoms</t>
  </si>
  <si>
    <t>Moan of the Unhallowed</t>
  </si>
  <si>
    <t>Tribute to Hunger</t>
  </si>
  <si>
    <t>Gatstaf Shepherd</t>
  </si>
  <si>
    <t>Desperate Ravings</t>
  </si>
  <si>
    <t>Slayer of the Wicked</t>
  </si>
  <si>
    <t>Solder</t>
  </si>
  <si>
    <t>Delver of Secrets</t>
  </si>
  <si>
    <t>Villager's of Estwald</t>
  </si>
  <si>
    <t>Mass Removal</t>
  </si>
  <si>
    <t>Ramp Creature</t>
  </si>
  <si>
    <t>Fixing Creature</t>
  </si>
  <si>
    <t>Pump Creature</t>
  </si>
  <si>
    <t>Pump Land</t>
  </si>
  <si>
    <t>Bounce Creature</t>
  </si>
  <si>
    <t>Shrine of Burning Rage</t>
  </si>
  <si>
    <t>Discard Creature</t>
  </si>
  <si>
    <t>Fixing Land</t>
  </si>
  <si>
    <t>Life Gain Creature</t>
  </si>
  <si>
    <t>Recursion Creature</t>
  </si>
  <si>
    <t>RARITY FIXES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</si>
</sst>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1" xfId="0" applyFont="1" applyFill="1" applyBorder="1"/>
    <xf numFmtId="0" fontId="3" fillId="0" borderId="0" xfId="0" applyFont="1" applyBorder="1"/>
    <xf numFmtId="0" fontId="2" fillId="0" borderId="0" xfId="0" applyFont="1" applyFill="1" applyBorder="1"/>
    <xf numFmtId="0" fontId="5" fillId="0" borderId="0" xfId="0" applyFont="1" applyFill="1"/>
    <xf numFmtId="0" fontId="0" fillId="0" borderId="0" xfId="0" applyBorder="1"/>
    <xf numFmtId="1" fontId="2" fillId="0" borderId="0" xfId="0" applyNumberFormat="1" applyFont="1" applyFill="1"/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2" fillId="0" borderId="1" xfId="0" applyFont="1" applyFill="1" applyBorder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0" fontId="0" fillId="3" borderId="3" xfId="0" applyFill="1" applyBorder="1"/>
    <xf numFmtId="0" fontId="0" fillId="0" borderId="4" xfId="0" applyFont="1" applyFill="1" applyBorder="1"/>
    <xf numFmtId="0" fontId="0" fillId="0" borderId="0" xfId="0" applyFill="1" applyBorder="1"/>
    <xf numFmtId="0" fontId="0" fillId="0" borderId="4" xfId="0" applyFill="1" applyBorder="1"/>
    <xf numFmtId="0" fontId="2" fillId="4" borderId="0" xfId="0" applyFont="1" applyFill="1"/>
    <xf numFmtId="0" fontId="3" fillId="4" borderId="0" xfId="0" applyFont="1" applyFill="1"/>
    <xf numFmtId="9" fontId="2" fillId="0" borderId="1" xfId="1" applyNumberFormat="1" applyFont="1" applyFill="1" applyBorder="1"/>
    <xf numFmtId="9" fontId="2" fillId="0" borderId="0" xfId="1" applyNumberFormat="1" applyFont="1" applyFill="1"/>
    <xf numFmtId="9" fontId="2" fillId="0" borderId="0" xfId="1" applyNumberFormat="1" applyFont="1" applyFill="1" applyBorder="1"/>
    <xf numFmtId="164" fontId="2" fillId="0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E668"/>
      <color rgb="FFBFB2F8"/>
      <color rgb="FFB43600"/>
      <color rgb="FFAAFCBE"/>
      <color rgb="FF7E040D"/>
      <color rgb="FF1706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White Commons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ChartData!$A$3</c:f>
              <c:strCache>
                <c:ptCount val="1"/>
                <c:pt idx="0">
                  <c:v>White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ChartData!$B$3:$G$3</c:f>
              <c:numCache>
                <c:formatCode>General</c:formatCode>
                <c:ptCount val="6"/>
                <c:pt idx="0">
                  <c:v>7</c:v>
                </c:pt>
                <c:pt idx="1">
                  <c:v>13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ChartData!$A$4</c:f>
              <c:strCache>
                <c:ptCount val="1"/>
                <c:pt idx="0">
                  <c:v>White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ChartData!$B$4:$G$4</c:f>
              <c:numCache>
                <c:formatCode>General</c:formatCode>
                <c:ptCount val="6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marker val="1"/>
        <c:axId val="65622400"/>
        <c:axId val="65623936"/>
      </c:lineChart>
      <c:catAx>
        <c:axId val="65622400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65623936"/>
        <c:crosses val="autoZero"/>
        <c:auto val="1"/>
        <c:lblAlgn val="ctr"/>
        <c:lblOffset val="100"/>
      </c:catAx>
      <c:valAx>
        <c:axId val="65623936"/>
        <c:scaling>
          <c:orientation val="minMax"/>
        </c:scaling>
        <c:delete val="1"/>
        <c:axPos val="l"/>
        <c:numFmt formatCode="General" sourceLinked="1"/>
        <c:tickLblPos val="nextTo"/>
        <c:crossAx val="6562240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Black Uncommons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ChartData!$J$9</c:f>
              <c:strCache>
                <c:ptCount val="1"/>
                <c:pt idx="0">
                  <c:v>Black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ChartData!$K$9:$Q$9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ChartData!$J$10</c:f>
              <c:strCache>
                <c:ptCount val="1"/>
                <c:pt idx="0">
                  <c:v>Black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ChartData!$K$10:$Q$10</c:f>
              <c:numCache>
                <c:formatCode>General</c:formatCode>
                <c:ptCount val="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dLbls>
          <c:showVal val="1"/>
        </c:dLbls>
        <c:marker val="1"/>
        <c:axId val="71632384"/>
        <c:axId val="71633920"/>
      </c:lineChart>
      <c:catAx>
        <c:axId val="71632384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1633920"/>
        <c:crosses val="autoZero"/>
        <c:auto val="1"/>
        <c:lblAlgn val="ctr"/>
        <c:lblOffset val="100"/>
      </c:catAx>
      <c:valAx>
        <c:axId val="71633920"/>
        <c:scaling>
          <c:orientation val="minMax"/>
        </c:scaling>
        <c:delete val="1"/>
        <c:axPos val="l"/>
        <c:numFmt formatCode="General" sourceLinked="1"/>
        <c:tickLblPos val="nextTo"/>
        <c:crossAx val="7163238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Red Uncommons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ChartData!$J$12</c:f>
              <c:strCache>
                <c:ptCount val="1"/>
                <c:pt idx="0">
                  <c:v>Red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ChartData!$K$12:$P$12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strRef>
              <c:f>ChartData!$J$13</c:f>
              <c:strCache>
                <c:ptCount val="1"/>
                <c:pt idx="0">
                  <c:v>Red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ChartData!$K$13:$P$13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</c:ser>
        <c:dLbls>
          <c:showVal val="1"/>
        </c:dLbls>
        <c:marker val="1"/>
        <c:axId val="71684480"/>
        <c:axId val="71686016"/>
      </c:lineChart>
      <c:catAx>
        <c:axId val="71684480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1686016"/>
        <c:crosses val="autoZero"/>
        <c:auto val="1"/>
        <c:lblAlgn val="ctr"/>
        <c:lblOffset val="100"/>
      </c:catAx>
      <c:valAx>
        <c:axId val="71686016"/>
        <c:scaling>
          <c:orientation val="minMax"/>
        </c:scaling>
        <c:delete val="1"/>
        <c:axPos val="l"/>
        <c:numFmt formatCode="General" sourceLinked="1"/>
        <c:tickLblPos val="nextTo"/>
        <c:crossAx val="7168448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Green Uncommons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ChartData!$J$15</c:f>
              <c:strCache>
                <c:ptCount val="1"/>
                <c:pt idx="0">
                  <c:v>Green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ChartData!$K$15:$Q$15</c:f>
              <c:numCache>
                <c:formatCode>General</c:formatCode>
                <c:ptCount val="7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ChartData!$J$16</c:f>
              <c:strCache>
                <c:ptCount val="1"/>
                <c:pt idx="0">
                  <c:v>Green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ChartData!$K$16:$Q$16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dLbls>
          <c:showVal val="1"/>
        </c:dLbls>
        <c:marker val="1"/>
        <c:axId val="71830528"/>
        <c:axId val="71840512"/>
      </c:lineChart>
      <c:catAx>
        <c:axId val="71830528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1840512"/>
        <c:crosses val="autoZero"/>
        <c:auto val="1"/>
        <c:lblAlgn val="ctr"/>
        <c:lblOffset val="100"/>
      </c:catAx>
      <c:valAx>
        <c:axId val="71840512"/>
        <c:scaling>
          <c:orientation val="minMax"/>
        </c:scaling>
        <c:delete val="1"/>
        <c:axPos val="l"/>
        <c:numFmt formatCode="General" sourceLinked="1"/>
        <c:tickLblPos val="nextTo"/>
        <c:crossAx val="7183052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Gold Uncommons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ChartData!$J$18</c:f>
              <c:strCache>
                <c:ptCount val="1"/>
                <c:pt idx="0">
                  <c:v>Gold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ChartData!$K$18:$P$18</c:f>
              <c:numCache>
                <c:formatCode>General</c:formatCode>
                <c:ptCount val="6"/>
                <c:pt idx="0">
                  <c:v>1</c:v>
                </c:pt>
                <c:pt idx="1">
                  <c:v>10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strRef>
              <c:f>ChartData!$J$19</c:f>
              <c:strCache>
                <c:ptCount val="1"/>
                <c:pt idx="0">
                  <c:v>Gold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ChartData!$K$19:$P$19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Val val="1"/>
        </c:dLbls>
        <c:marker val="1"/>
        <c:axId val="71763840"/>
        <c:axId val="71765376"/>
      </c:lineChart>
      <c:catAx>
        <c:axId val="71763840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1765376"/>
        <c:crosses val="autoZero"/>
        <c:auto val="1"/>
        <c:lblAlgn val="ctr"/>
        <c:lblOffset val="100"/>
      </c:catAx>
      <c:valAx>
        <c:axId val="71765376"/>
        <c:scaling>
          <c:orientation val="minMax"/>
        </c:scaling>
        <c:delete val="1"/>
        <c:axPos val="l"/>
        <c:numFmt formatCode="General" sourceLinked="1"/>
        <c:tickLblPos val="nextTo"/>
        <c:crossAx val="7176384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 Uncommons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ChartData!$J$24</c:f>
              <c:strCache>
                <c:ptCount val="1"/>
                <c:pt idx="0">
                  <c:v>Total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ChartData!$K$24:$Q$24</c:f>
              <c:numCache>
                <c:formatCode>General</c:formatCode>
                <c:ptCount val="7"/>
                <c:pt idx="0">
                  <c:v>8</c:v>
                </c:pt>
                <c:pt idx="1">
                  <c:v>30</c:v>
                </c:pt>
                <c:pt idx="2">
                  <c:v>30</c:v>
                </c:pt>
                <c:pt idx="3">
                  <c:v>27</c:v>
                </c:pt>
                <c:pt idx="4">
                  <c:v>19</c:v>
                </c:pt>
                <c:pt idx="5">
                  <c:v>13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ChartData!$J$25</c:f>
              <c:strCache>
                <c:ptCount val="1"/>
                <c:pt idx="0">
                  <c:v>Total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ChartData!$K$25:$Q$25</c:f>
              <c:numCache>
                <c:formatCode>General</c:formatCode>
                <c:ptCount val="7"/>
                <c:pt idx="0">
                  <c:v>7</c:v>
                </c:pt>
                <c:pt idx="1">
                  <c:v>27</c:v>
                </c:pt>
                <c:pt idx="2">
                  <c:v>29</c:v>
                </c:pt>
                <c:pt idx="3">
                  <c:v>15</c:v>
                </c:pt>
                <c:pt idx="4">
                  <c:v>11</c:v>
                </c:pt>
                <c:pt idx="5">
                  <c:v>10</c:v>
                </c:pt>
                <c:pt idx="6">
                  <c:v>0</c:v>
                </c:pt>
              </c:numCache>
            </c:numRef>
          </c:val>
        </c:ser>
        <c:dLbls>
          <c:showVal val="1"/>
        </c:dLbls>
        <c:marker val="1"/>
        <c:axId val="71807744"/>
        <c:axId val="71809280"/>
      </c:lineChart>
      <c:catAx>
        <c:axId val="71807744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1809280"/>
        <c:crosses val="autoZero"/>
        <c:auto val="1"/>
        <c:lblAlgn val="ctr"/>
        <c:lblOffset val="100"/>
      </c:catAx>
      <c:valAx>
        <c:axId val="71809280"/>
        <c:scaling>
          <c:orientation val="minMax"/>
        </c:scaling>
        <c:delete val="1"/>
        <c:axPos val="l"/>
        <c:numFmt formatCode="General" sourceLinked="1"/>
        <c:tickLblPos val="nextTo"/>
        <c:crossAx val="7180774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Combined White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ChartData!$S$3</c:f>
              <c:strCache>
                <c:ptCount val="1"/>
                <c:pt idx="0">
                  <c:v>White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ChartData!$T$3:$Z$3</c:f>
              <c:numCache>
                <c:formatCode>General</c:formatCode>
                <c:ptCount val="7"/>
                <c:pt idx="0">
                  <c:v>10</c:v>
                </c:pt>
                <c:pt idx="1">
                  <c:v>17</c:v>
                </c:pt>
                <c:pt idx="2">
                  <c:v>15</c:v>
                </c:pt>
                <c:pt idx="3">
                  <c:v>9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ChartData!$S$4</c:f>
              <c:strCache>
                <c:ptCount val="1"/>
                <c:pt idx="0">
                  <c:v>White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ChartData!$T$4:$Z$4</c:f>
              <c:numCache>
                <c:formatCode>General</c:formatCode>
                <c:ptCount val="7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dLbls>
          <c:showVal val="1"/>
        </c:dLbls>
        <c:marker val="1"/>
        <c:axId val="71826816"/>
        <c:axId val="71906432"/>
      </c:lineChart>
      <c:catAx>
        <c:axId val="71826816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1906432"/>
        <c:crosses val="autoZero"/>
        <c:auto val="1"/>
        <c:lblAlgn val="ctr"/>
        <c:lblOffset val="100"/>
      </c:catAx>
      <c:valAx>
        <c:axId val="71906432"/>
        <c:scaling>
          <c:orientation val="minMax"/>
        </c:scaling>
        <c:delete val="1"/>
        <c:axPos val="l"/>
        <c:numFmt formatCode="General" sourceLinked="1"/>
        <c:tickLblPos val="nextTo"/>
        <c:crossAx val="7182681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Combined Blue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ChartData!$S$6</c:f>
              <c:strCache>
                <c:ptCount val="1"/>
                <c:pt idx="0">
                  <c:v>Blue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ChartData!$T$6:$Z$6</c:f>
              <c:numCache>
                <c:formatCode>General</c:formatCode>
                <c:ptCount val="7"/>
                <c:pt idx="0">
                  <c:v>3</c:v>
                </c:pt>
                <c:pt idx="1">
                  <c:v>11</c:v>
                </c:pt>
                <c:pt idx="2">
                  <c:v>13</c:v>
                </c:pt>
                <c:pt idx="3">
                  <c:v>10</c:v>
                </c:pt>
                <c:pt idx="4">
                  <c:v>9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ChartData!$S$7</c:f>
              <c:strCache>
                <c:ptCount val="1"/>
                <c:pt idx="0">
                  <c:v>Blue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ChartData!$T$7:$Z$7</c:f>
              <c:numCache>
                <c:formatCode>General</c:formatCode>
                <c:ptCount val="7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8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dLbls>
          <c:showVal val="1"/>
        </c:dLbls>
        <c:marker val="1"/>
        <c:axId val="71952640"/>
        <c:axId val="71970816"/>
      </c:lineChart>
      <c:catAx>
        <c:axId val="71952640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1970816"/>
        <c:crosses val="autoZero"/>
        <c:auto val="1"/>
        <c:lblAlgn val="ctr"/>
        <c:lblOffset val="100"/>
      </c:catAx>
      <c:valAx>
        <c:axId val="71970816"/>
        <c:scaling>
          <c:orientation val="minMax"/>
        </c:scaling>
        <c:delete val="1"/>
        <c:axPos val="l"/>
        <c:numFmt formatCode="General" sourceLinked="1"/>
        <c:tickLblPos val="nextTo"/>
        <c:crossAx val="7195264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Combined Black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ChartData!$S$9</c:f>
              <c:strCache>
                <c:ptCount val="1"/>
                <c:pt idx="0">
                  <c:v>Black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ChartData!$T$9:$Z$9</c:f>
              <c:numCache>
                <c:formatCode>General</c:formatCode>
                <c:ptCount val="7"/>
                <c:pt idx="0">
                  <c:v>7</c:v>
                </c:pt>
                <c:pt idx="1">
                  <c:v>11</c:v>
                </c:pt>
                <c:pt idx="2">
                  <c:v>16</c:v>
                </c:pt>
                <c:pt idx="3">
                  <c:v>9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ChartData!$S$10</c:f>
              <c:strCache>
                <c:ptCount val="1"/>
                <c:pt idx="0">
                  <c:v>Black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ChartData!$T$10:$Z$10</c:f>
              <c:numCache>
                <c:formatCode>General</c:formatCode>
                <c:ptCount val="7"/>
                <c:pt idx="0">
                  <c:v>7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dLbls>
          <c:showVal val="1"/>
        </c:dLbls>
        <c:marker val="1"/>
        <c:axId val="72017024"/>
        <c:axId val="72018560"/>
      </c:lineChart>
      <c:catAx>
        <c:axId val="72017024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2018560"/>
        <c:crosses val="autoZero"/>
        <c:auto val="1"/>
        <c:lblAlgn val="ctr"/>
        <c:lblOffset val="100"/>
      </c:catAx>
      <c:valAx>
        <c:axId val="72018560"/>
        <c:scaling>
          <c:orientation val="minMax"/>
        </c:scaling>
        <c:delete val="1"/>
        <c:axPos val="l"/>
        <c:numFmt formatCode="General" sourceLinked="1"/>
        <c:tickLblPos val="nextTo"/>
        <c:crossAx val="7201702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Combined Red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ChartData!$S$12</c:f>
              <c:strCache>
                <c:ptCount val="1"/>
                <c:pt idx="0">
                  <c:v>Red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ChartData!$T$12:$Z$12</c:f>
              <c:numCache>
                <c:formatCode>General</c:formatCode>
                <c:ptCount val="7"/>
                <c:pt idx="0">
                  <c:v>7</c:v>
                </c:pt>
                <c:pt idx="1">
                  <c:v>15</c:v>
                </c:pt>
                <c:pt idx="2">
                  <c:v>13</c:v>
                </c:pt>
                <c:pt idx="3">
                  <c:v>8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ChartData!$S$13</c:f>
              <c:strCache>
                <c:ptCount val="1"/>
                <c:pt idx="0">
                  <c:v>Red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ChartData!$T$13:$Z$13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11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</c:ser>
        <c:dLbls>
          <c:showVal val="1"/>
        </c:dLbls>
        <c:marker val="1"/>
        <c:axId val="72044544"/>
        <c:axId val="72046080"/>
      </c:lineChart>
      <c:catAx>
        <c:axId val="72044544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2046080"/>
        <c:crosses val="autoZero"/>
        <c:auto val="1"/>
        <c:lblAlgn val="ctr"/>
        <c:lblOffset val="100"/>
      </c:catAx>
      <c:valAx>
        <c:axId val="72046080"/>
        <c:scaling>
          <c:orientation val="minMax"/>
        </c:scaling>
        <c:delete val="1"/>
        <c:axPos val="l"/>
        <c:numFmt formatCode="General" sourceLinked="1"/>
        <c:tickLblPos val="nextTo"/>
        <c:crossAx val="7204454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Combined Green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ChartData!$S$15</c:f>
              <c:strCache>
                <c:ptCount val="1"/>
                <c:pt idx="0">
                  <c:v>Green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ChartData!$T$15:$Z$15</c:f>
              <c:numCache>
                <c:formatCode>General</c:formatCode>
                <c:ptCount val="7"/>
                <c:pt idx="0">
                  <c:v>6</c:v>
                </c:pt>
                <c:pt idx="1">
                  <c:v>13</c:v>
                </c:pt>
                <c:pt idx="2">
                  <c:v>14</c:v>
                </c:pt>
                <c:pt idx="3">
                  <c:v>11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</c:ser>
        <c:ser>
          <c:idx val="1"/>
          <c:order val="1"/>
          <c:tx>
            <c:strRef>
              <c:f>ChartData!$S$16</c:f>
              <c:strCache>
                <c:ptCount val="1"/>
                <c:pt idx="0">
                  <c:v>Green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ChartData!$T$16:$Z$16</c:f>
              <c:numCache>
                <c:formatCode>General</c:formatCode>
                <c:ptCount val="7"/>
                <c:pt idx="0">
                  <c:v>4</c:v>
                </c:pt>
                <c:pt idx="1">
                  <c:v>7</c:v>
                </c:pt>
                <c:pt idx="2">
                  <c:v>7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dLbls>
          <c:showVal val="1"/>
        </c:dLbls>
        <c:marker val="1"/>
        <c:axId val="72071808"/>
        <c:axId val="72081792"/>
      </c:lineChart>
      <c:catAx>
        <c:axId val="72071808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2081792"/>
        <c:crosses val="autoZero"/>
        <c:auto val="1"/>
        <c:lblAlgn val="ctr"/>
        <c:lblOffset val="100"/>
      </c:catAx>
      <c:valAx>
        <c:axId val="72081792"/>
        <c:scaling>
          <c:orientation val="minMax"/>
        </c:scaling>
        <c:delete val="1"/>
        <c:axPos val="l"/>
        <c:numFmt formatCode="General" sourceLinked="1"/>
        <c:tickLblPos val="nextTo"/>
        <c:crossAx val="7207180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Blue</a:t>
            </a:r>
            <a:r>
              <a:rPr lang="en-US" baseline="0"/>
              <a:t> </a:t>
            </a:r>
            <a:r>
              <a:rPr lang="en-US"/>
              <a:t>Commons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ChartData!$A$6</c:f>
              <c:strCache>
                <c:ptCount val="1"/>
                <c:pt idx="0">
                  <c:v>Blue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ChartData!$B$6:$H$6</c:f>
              <c:numCache>
                <c:formatCode>General</c:formatCode>
                <c:ptCount val="7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7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ChartData!$A$7</c:f>
              <c:strCache>
                <c:ptCount val="1"/>
                <c:pt idx="0">
                  <c:v>Blue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ChartData!$B$7:$H$7</c:f>
              <c:numCache>
                <c:formatCode>General</c:formatCode>
                <c:ptCount val="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Val val="1"/>
        </c:dLbls>
        <c:marker val="1"/>
        <c:axId val="65637376"/>
        <c:axId val="65651456"/>
      </c:lineChart>
      <c:catAx>
        <c:axId val="65637376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65651456"/>
        <c:crosses val="autoZero"/>
        <c:auto val="1"/>
        <c:lblAlgn val="ctr"/>
        <c:lblOffset val="100"/>
      </c:catAx>
      <c:valAx>
        <c:axId val="65651456"/>
        <c:scaling>
          <c:orientation val="minMax"/>
        </c:scaling>
        <c:delete val="1"/>
        <c:axPos val="l"/>
        <c:numFmt formatCode="General" sourceLinked="1"/>
        <c:tickLblPos val="nextTo"/>
        <c:crossAx val="6563737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Combined Gold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ChartData!$S$18</c:f>
              <c:strCache>
                <c:ptCount val="1"/>
                <c:pt idx="0">
                  <c:v>Gold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ChartData!$T$18:$Z$18</c:f>
              <c:numCache>
                <c:formatCode>General</c:formatCode>
                <c:ptCount val="7"/>
                <c:pt idx="0">
                  <c:v>1</c:v>
                </c:pt>
                <c:pt idx="1">
                  <c:v>12</c:v>
                </c:pt>
                <c:pt idx="2">
                  <c:v>11</c:v>
                </c:pt>
                <c:pt idx="3">
                  <c:v>7</c:v>
                </c:pt>
                <c:pt idx="4">
                  <c:v>8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ChartData!$S$19</c:f>
              <c:strCache>
                <c:ptCount val="1"/>
                <c:pt idx="0">
                  <c:v>Gold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ChartData!$T$19:$Z$19</c:f>
              <c:numCache>
                <c:formatCode>General</c:formatCode>
                <c:ptCount val="7"/>
                <c:pt idx="0">
                  <c:v>0</c:v>
                </c:pt>
                <c:pt idx="1">
                  <c:v>7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</c:ser>
        <c:dLbls>
          <c:showVal val="1"/>
        </c:dLbls>
        <c:marker val="1"/>
        <c:axId val="72123904"/>
        <c:axId val="72125440"/>
      </c:lineChart>
      <c:catAx>
        <c:axId val="72123904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2125440"/>
        <c:crosses val="autoZero"/>
        <c:auto val="1"/>
        <c:lblAlgn val="ctr"/>
        <c:lblOffset val="100"/>
      </c:catAx>
      <c:valAx>
        <c:axId val="72125440"/>
        <c:scaling>
          <c:orientation val="minMax"/>
        </c:scaling>
        <c:delete val="1"/>
        <c:axPos val="l"/>
        <c:numFmt formatCode="General" sourceLinked="1"/>
        <c:tickLblPos val="nextTo"/>
        <c:crossAx val="7212390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Combined Total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ChartData!$S$24</c:f>
              <c:strCache>
                <c:ptCount val="1"/>
                <c:pt idx="0">
                  <c:v>Total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ChartData!$T$24:$AA$24</c:f>
              <c:numCache>
                <c:formatCode>General</c:formatCode>
                <c:ptCount val="8"/>
                <c:pt idx="0">
                  <c:v>34</c:v>
                </c:pt>
                <c:pt idx="1">
                  <c:v>81</c:v>
                </c:pt>
                <c:pt idx="2">
                  <c:v>87</c:v>
                </c:pt>
                <c:pt idx="3">
                  <c:v>58</c:v>
                </c:pt>
                <c:pt idx="4">
                  <c:v>39</c:v>
                </c:pt>
                <c:pt idx="5">
                  <c:v>22</c:v>
                </c:pt>
                <c:pt idx="6">
                  <c:v>5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ChartData!$S$25</c:f>
              <c:strCache>
                <c:ptCount val="1"/>
                <c:pt idx="0">
                  <c:v>Total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ChartData!$T$25:$AA$25</c:f>
              <c:numCache>
                <c:formatCode>General</c:formatCode>
                <c:ptCount val="8"/>
                <c:pt idx="0">
                  <c:v>41</c:v>
                </c:pt>
                <c:pt idx="1">
                  <c:v>67</c:v>
                </c:pt>
                <c:pt idx="2">
                  <c:v>65</c:v>
                </c:pt>
                <c:pt idx="3">
                  <c:v>28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dLbls>
          <c:showVal val="1"/>
        </c:dLbls>
        <c:marker val="1"/>
        <c:axId val="72164480"/>
        <c:axId val="72166016"/>
      </c:lineChart>
      <c:catAx>
        <c:axId val="72164480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2166016"/>
        <c:crosses val="autoZero"/>
        <c:auto val="1"/>
        <c:lblAlgn val="ctr"/>
        <c:lblOffset val="100"/>
      </c:catAx>
      <c:valAx>
        <c:axId val="72166016"/>
        <c:scaling>
          <c:orientation val="minMax"/>
        </c:scaling>
        <c:delete val="1"/>
        <c:axPos val="l"/>
        <c:numFmt formatCode="General" sourceLinked="1"/>
        <c:tickLblPos val="nextTo"/>
        <c:crossAx val="7216448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Black</a:t>
            </a:r>
            <a:r>
              <a:rPr lang="en-US" baseline="0"/>
              <a:t> </a:t>
            </a:r>
            <a:r>
              <a:rPr lang="en-US"/>
              <a:t>Commons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ChartData!$A$9</c:f>
              <c:strCache>
                <c:ptCount val="1"/>
                <c:pt idx="0">
                  <c:v>Black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ChartData!$B$9:$H$9</c:f>
              <c:numCache>
                <c:formatCode>General</c:formatCode>
                <c:ptCount val="7"/>
                <c:pt idx="0">
                  <c:v>6</c:v>
                </c:pt>
                <c:pt idx="1">
                  <c:v>9</c:v>
                </c:pt>
                <c:pt idx="2">
                  <c:v>11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ChartData!$A$10</c:f>
              <c:strCache>
                <c:ptCount val="1"/>
                <c:pt idx="0">
                  <c:v>Black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ChartData!$B$10:$H$10</c:f>
              <c:numCache>
                <c:formatCode>General</c:formatCode>
                <c:ptCount val="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Val val="1"/>
        </c:dLbls>
        <c:marker val="1"/>
        <c:axId val="71333760"/>
        <c:axId val="71335296"/>
      </c:lineChart>
      <c:catAx>
        <c:axId val="71333760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1335296"/>
        <c:crosses val="autoZero"/>
        <c:auto val="1"/>
        <c:lblAlgn val="ctr"/>
        <c:lblOffset val="100"/>
      </c:catAx>
      <c:valAx>
        <c:axId val="71335296"/>
        <c:scaling>
          <c:orientation val="minMax"/>
        </c:scaling>
        <c:delete val="1"/>
        <c:axPos val="l"/>
        <c:numFmt formatCode="General" sourceLinked="1"/>
        <c:tickLblPos val="nextTo"/>
        <c:crossAx val="7133376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Red</a:t>
            </a:r>
            <a:r>
              <a:rPr lang="en-US" baseline="0"/>
              <a:t> </a:t>
            </a:r>
            <a:r>
              <a:rPr lang="en-US"/>
              <a:t>Commons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ChartData!$A$12</c:f>
              <c:strCache>
                <c:ptCount val="1"/>
                <c:pt idx="0">
                  <c:v>Red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ChartData!$B$12:$G$12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9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ChartData!$A$13</c:f>
              <c:strCache>
                <c:ptCount val="1"/>
                <c:pt idx="0">
                  <c:v>Red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ChartData!$B$13:$G$13</c:f>
              <c:numCache>
                <c:formatCode>General</c:formatCode>
                <c:ptCount val="6"/>
                <c:pt idx="0">
                  <c:v>6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dLbls>
          <c:showVal val="1"/>
        </c:dLbls>
        <c:marker val="1"/>
        <c:axId val="71447296"/>
        <c:axId val="71448832"/>
      </c:lineChart>
      <c:catAx>
        <c:axId val="71447296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1448832"/>
        <c:crosses val="autoZero"/>
        <c:auto val="1"/>
        <c:lblAlgn val="ctr"/>
        <c:lblOffset val="100"/>
      </c:catAx>
      <c:valAx>
        <c:axId val="71448832"/>
        <c:scaling>
          <c:orientation val="minMax"/>
        </c:scaling>
        <c:delete val="1"/>
        <c:axPos val="l"/>
        <c:numFmt formatCode="General" sourceLinked="1"/>
        <c:tickLblPos val="nextTo"/>
        <c:crossAx val="7144729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Green</a:t>
            </a:r>
            <a:r>
              <a:rPr lang="en-US" baseline="0"/>
              <a:t> </a:t>
            </a:r>
            <a:r>
              <a:rPr lang="en-US"/>
              <a:t>Commons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ChartData!$A$15</c:f>
              <c:strCache>
                <c:ptCount val="1"/>
                <c:pt idx="0">
                  <c:v>Green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ChartData!$B$15:$H$15</c:f>
              <c:numCache>
                <c:formatCode>General</c:formatCode>
                <c:ptCount val="7"/>
                <c:pt idx="0">
                  <c:v>5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ChartData!$A$16</c:f>
              <c:strCache>
                <c:ptCount val="1"/>
                <c:pt idx="0">
                  <c:v>Green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ChartData!$B$16:$H$16</c:f>
              <c:numCache>
                <c:formatCode>General</c:formatCode>
                <c:ptCount val="7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Val val="1"/>
        </c:dLbls>
        <c:marker val="1"/>
        <c:axId val="71470464"/>
        <c:axId val="71484544"/>
      </c:lineChart>
      <c:catAx>
        <c:axId val="71470464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1484544"/>
        <c:crosses val="autoZero"/>
        <c:auto val="1"/>
        <c:lblAlgn val="ctr"/>
        <c:lblOffset val="100"/>
      </c:catAx>
      <c:valAx>
        <c:axId val="71484544"/>
        <c:scaling>
          <c:orientation val="minMax"/>
        </c:scaling>
        <c:delete val="1"/>
        <c:axPos val="l"/>
        <c:numFmt formatCode="General" sourceLinked="1"/>
        <c:tickLblPos val="nextTo"/>
        <c:crossAx val="7147046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Gold</a:t>
            </a:r>
            <a:r>
              <a:rPr lang="en-US" baseline="0"/>
              <a:t> </a:t>
            </a:r>
            <a:r>
              <a:rPr lang="en-US"/>
              <a:t>Commons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ChartData!$A$18</c:f>
              <c:strCache>
                <c:ptCount val="1"/>
                <c:pt idx="0">
                  <c:v>Gold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ChartData!$B$18:$G$18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strRef>
              <c:f>ChartData!$A$19</c:f>
              <c:strCache>
                <c:ptCount val="1"/>
                <c:pt idx="0">
                  <c:v>Gold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ChartData!$B$19:$G$19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marker val="1"/>
        <c:axId val="71530752"/>
        <c:axId val="71540736"/>
      </c:lineChart>
      <c:catAx>
        <c:axId val="71530752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1540736"/>
        <c:crosses val="autoZero"/>
        <c:auto val="1"/>
        <c:lblAlgn val="ctr"/>
        <c:lblOffset val="100"/>
      </c:catAx>
      <c:valAx>
        <c:axId val="71540736"/>
        <c:scaling>
          <c:orientation val="minMax"/>
        </c:scaling>
        <c:delete val="1"/>
        <c:axPos val="l"/>
        <c:numFmt formatCode="General" sourceLinked="1"/>
        <c:tickLblPos val="nextTo"/>
        <c:crossAx val="7153075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 Commons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ChartData!$A$24</c:f>
              <c:strCache>
                <c:ptCount val="1"/>
                <c:pt idx="0">
                  <c:v>Total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ChartData!$B$24:$H$24</c:f>
              <c:numCache>
                <c:formatCode>General</c:formatCode>
                <c:ptCount val="7"/>
                <c:pt idx="0">
                  <c:v>26</c:v>
                </c:pt>
                <c:pt idx="1">
                  <c:v>51</c:v>
                </c:pt>
                <c:pt idx="2">
                  <c:v>57</c:v>
                </c:pt>
                <c:pt idx="3">
                  <c:v>31</c:v>
                </c:pt>
                <c:pt idx="4">
                  <c:v>20</c:v>
                </c:pt>
                <c:pt idx="5">
                  <c:v>9</c:v>
                </c:pt>
                <c:pt idx="6">
                  <c:v>4</c:v>
                </c:pt>
              </c:numCache>
            </c:numRef>
          </c:val>
        </c:ser>
        <c:ser>
          <c:idx val="1"/>
          <c:order val="1"/>
          <c:tx>
            <c:strRef>
              <c:f>ChartData!$A$25</c:f>
              <c:strCache>
                <c:ptCount val="1"/>
                <c:pt idx="0">
                  <c:v>Total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ChartData!$B$25:$H$25</c:f>
              <c:numCache>
                <c:formatCode>General</c:formatCode>
                <c:ptCount val="7"/>
                <c:pt idx="0">
                  <c:v>34</c:v>
                </c:pt>
                <c:pt idx="1">
                  <c:v>40</c:v>
                </c:pt>
                <c:pt idx="2">
                  <c:v>36</c:v>
                </c:pt>
                <c:pt idx="3">
                  <c:v>13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dLbls>
          <c:showVal val="1"/>
        </c:dLbls>
        <c:marker val="1"/>
        <c:axId val="71566464"/>
        <c:axId val="71568000"/>
      </c:lineChart>
      <c:catAx>
        <c:axId val="71566464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1568000"/>
        <c:crosses val="autoZero"/>
        <c:auto val="1"/>
        <c:lblAlgn val="ctr"/>
        <c:lblOffset val="100"/>
      </c:catAx>
      <c:valAx>
        <c:axId val="71568000"/>
        <c:scaling>
          <c:orientation val="minMax"/>
        </c:scaling>
        <c:delete val="1"/>
        <c:axPos val="l"/>
        <c:numFmt formatCode="General" sourceLinked="1"/>
        <c:tickLblPos val="nextTo"/>
        <c:crossAx val="7156646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White Uncommons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ChartData!$J$3</c:f>
              <c:strCache>
                <c:ptCount val="1"/>
                <c:pt idx="0">
                  <c:v>White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ChartData!$K$3:$P$3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ChartData!$J$4</c:f>
              <c:strCache>
                <c:ptCount val="1"/>
                <c:pt idx="0">
                  <c:v>White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ChartData!$K$4:$P$4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</c:ser>
        <c:dLbls>
          <c:showVal val="1"/>
        </c:dLbls>
        <c:marker val="1"/>
        <c:axId val="71614464"/>
        <c:axId val="71616000"/>
      </c:lineChart>
      <c:catAx>
        <c:axId val="71614464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1616000"/>
        <c:crosses val="autoZero"/>
        <c:auto val="1"/>
        <c:lblAlgn val="ctr"/>
        <c:lblOffset val="100"/>
      </c:catAx>
      <c:valAx>
        <c:axId val="71616000"/>
        <c:scaling>
          <c:orientation val="minMax"/>
        </c:scaling>
        <c:delete val="1"/>
        <c:axPos val="l"/>
        <c:numFmt formatCode="General" sourceLinked="1"/>
        <c:tickLblPos val="nextTo"/>
        <c:crossAx val="7161446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Blue Uncommons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ChartData!$J$6</c:f>
              <c:strCache>
                <c:ptCount val="1"/>
                <c:pt idx="0">
                  <c:v>Blue 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ChartData!$K$6:$P$6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strRef>
              <c:f>ChartData!$J$7</c:f>
              <c:strCache>
                <c:ptCount val="1"/>
                <c:pt idx="0">
                  <c:v>Blue Noncreatures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val>
            <c:numRef>
              <c:f>ChartData!$K$7:$P$7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Val val="1"/>
        </c:dLbls>
        <c:marker val="1"/>
        <c:axId val="71707264"/>
        <c:axId val="71721344"/>
      </c:lineChart>
      <c:catAx>
        <c:axId val="71707264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9525">
            <a:noFill/>
          </a:ln>
        </c:spPr>
        <c:crossAx val="71721344"/>
        <c:crosses val="autoZero"/>
        <c:auto val="1"/>
        <c:lblAlgn val="ctr"/>
        <c:lblOffset val="100"/>
      </c:catAx>
      <c:valAx>
        <c:axId val="71721344"/>
        <c:scaling>
          <c:orientation val="minMax"/>
        </c:scaling>
        <c:delete val="1"/>
        <c:axPos val="l"/>
        <c:numFmt formatCode="General" sourceLinked="1"/>
        <c:tickLblPos val="nextTo"/>
        <c:crossAx val="7170726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6</xdr:col>
      <xdr:colOff>0</xdr:colOff>
      <xdr:row>11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5289</xdr:rowOff>
    </xdr:from>
    <xdr:to>
      <xdr:col>6</xdr:col>
      <xdr:colOff>0</xdr:colOff>
      <xdr:row>23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1</xdr:rowOff>
    </xdr:from>
    <xdr:to>
      <xdr:col>6</xdr:col>
      <xdr:colOff>0</xdr:colOff>
      <xdr:row>35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6</xdr:col>
      <xdr:colOff>0</xdr:colOff>
      <xdr:row>46</xdr:row>
      <xdr:rowOff>190499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48</xdr:row>
      <xdr:rowOff>0</xdr:rowOff>
    </xdr:from>
    <xdr:to>
      <xdr:col>6</xdr:col>
      <xdr:colOff>0</xdr:colOff>
      <xdr:row>59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6</xdr:col>
      <xdr:colOff>-1</xdr:colOff>
      <xdr:row>72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6</xdr:col>
      <xdr:colOff>0</xdr:colOff>
      <xdr:row>85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607218</xdr:colOff>
      <xdr:row>10</xdr:row>
      <xdr:rowOff>190499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12</xdr:row>
      <xdr:rowOff>0</xdr:rowOff>
    </xdr:from>
    <xdr:to>
      <xdr:col>13</xdr:col>
      <xdr:colOff>0</xdr:colOff>
      <xdr:row>22</xdr:row>
      <xdr:rowOff>185211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13</xdr:col>
      <xdr:colOff>0</xdr:colOff>
      <xdr:row>34</xdr:row>
      <xdr:rowOff>190499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13</xdr:col>
      <xdr:colOff>0</xdr:colOff>
      <xdr:row>46</xdr:row>
      <xdr:rowOff>190499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12</xdr:col>
      <xdr:colOff>607218</xdr:colOff>
      <xdr:row>59</xdr:row>
      <xdr:rowOff>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12</xdr:col>
      <xdr:colOff>607218</xdr:colOff>
      <xdr:row>72</xdr:row>
      <xdr:rowOff>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13</xdr:col>
      <xdr:colOff>0</xdr:colOff>
      <xdr:row>85</xdr:row>
      <xdr:rowOff>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0</xdr:colOff>
      <xdr:row>0</xdr:row>
      <xdr:rowOff>0</xdr:rowOff>
    </xdr:from>
    <xdr:to>
      <xdr:col>20</xdr:col>
      <xdr:colOff>0</xdr:colOff>
      <xdr:row>10</xdr:row>
      <xdr:rowOff>190499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0</xdr:colOff>
      <xdr:row>12</xdr:row>
      <xdr:rowOff>0</xdr:rowOff>
    </xdr:from>
    <xdr:to>
      <xdr:col>20</xdr:col>
      <xdr:colOff>1</xdr:colOff>
      <xdr:row>22</xdr:row>
      <xdr:rowOff>185211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0</xdr:colOff>
      <xdr:row>24</xdr:row>
      <xdr:rowOff>0</xdr:rowOff>
    </xdr:from>
    <xdr:to>
      <xdr:col>20</xdr:col>
      <xdr:colOff>1</xdr:colOff>
      <xdr:row>34</xdr:row>
      <xdr:rowOff>190499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0</xdr:colOff>
      <xdr:row>36</xdr:row>
      <xdr:rowOff>0</xdr:rowOff>
    </xdr:from>
    <xdr:to>
      <xdr:col>20</xdr:col>
      <xdr:colOff>1</xdr:colOff>
      <xdr:row>46</xdr:row>
      <xdr:rowOff>190499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</xdr:col>
      <xdr:colOff>0</xdr:colOff>
      <xdr:row>48</xdr:row>
      <xdr:rowOff>0</xdr:rowOff>
    </xdr:from>
    <xdr:to>
      <xdr:col>20</xdr:col>
      <xdr:colOff>0</xdr:colOff>
      <xdr:row>59</xdr:row>
      <xdr:rowOff>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14</xdr:col>
      <xdr:colOff>0</xdr:colOff>
      <xdr:row>60</xdr:row>
      <xdr:rowOff>0</xdr:rowOff>
    </xdr:from>
    <xdr:to>
      <xdr:col>20</xdr:col>
      <xdr:colOff>0</xdr:colOff>
      <xdr:row>72</xdr:row>
      <xdr:rowOff>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0</xdr:colOff>
      <xdr:row>73</xdr:row>
      <xdr:rowOff>0</xdr:rowOff>
    </xdr:from>
    <xdr:to>
      <xdr:col>20</xdr:col>
      <xdr:colOff>1</xdr:colOff>
      <xdr:row>85</xdr:row>
      <xdr:rowOff>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Commons" displayName="Commons" ref="A1:N351" totalsRowShown="0">
  <autoFilter ref="A1:N351">
    <filterColumn colId="7"/>
    <filterColumn colId="9"/>
    <filterColumn colId="10"/>
    <filterColumn colId="11"/>
    <filterColumn colId="12"/>
    <filterColumn colId="13"/>
  </autoFilter>
  <sortState ref="A2:N351">
    <sortCondition ref="B1:B351"/>
  </sortState>
  <tableColumns count="14">
    <tableColumn id="1" name="CardName"/>
    <tableColumn id="2" name="Color"/>
    <tableColumn id="4" name="CMC"/>
    <tableColumn id="5" name="Type1"/>
    <tableColumn id="6" name="Type2"/>
    <tableColumn id="7" name="Sub Type1"/>
    <tableColumn id="8" name="Sub Type2"/>
    <tableColumn id="21" name="Sub Type3"/>
    <tableColumn id="11" name="Ability1"/>
    <tableColumn id="22" name="Ability2"/>
    <tableColumn id="16" name="Theme1"/>
    <tableColumn id="12" name="Theme2"/>
    <tableColumn id="3" name="Identity"/>
    <tableColumn id="13" name="Rating"/>
  </tableColumns>
  <tableStyleInfo name="TableStyleMedium12" showFirstColumn="0" showLastColumn="0" showRowStripes="0" showColumnStripes="1"/>
</table>
</file>

<file path=xl/tables/table2.xml><?xml version="1.0" encoding="utf-8"?>
<table xmlns="http://schemas.openxmlformats.org/spreadsheetml/2006/main" id="3" name="Uncommons" displayName="Uncommons" ref="A1:N243" totalsRowShown="0">
  <autoFilter ref="A1:N243">
    <filterColumn colId="1"/>
    <filterColumn colId="12"/>
    <filterColumn colId="13"/>
  </autoFilter>
  <sortState ref="A2:N243">
    <sortCondition ref="B1:B243"/>
  </sortState>
  <tableColumns count="14">
    <tableColumn id="1" name="CardName"/>
    <tableColumn id="2" name="Color"/>
    <tableColumn id="3" name="CMC"/>
    <tableColumn id="4" name="Type1"/>
    <tableColumn id="5" name="Type2"/>
    <tableColumn id="6" name="Sub Type1"/>
    <tableColumn id="7" name="Sub Type2"/>
    <tableColumn id="8" name="Sub Type3"/>
    <tableColumn id="11" name="Ability1"/>
    <tableColumn id="12" name="Ability2"/>
    <tableColumn id="13" name="Theme1"/>
    <tableColumn id="14" name="Theme2"/>
    <tableColumn id="16" name="Identity"/>
    <tableColumn id="17" name="Rating"/>
  </tableColumns>
  <tableStyleInfo name="TableStyleMedium9" showFirstColumn="0" showLastColumn="0" showRowStripes="0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zoomScale="80" zoomScaleNormal="80" workbookViewId="0">
      <selection activeCell="E11" sqref="E11"/>
    </sheetView>
  </sheetViews>
  <sheetFormatPr defaultRowHeight="15"/>
  <cols>
    <col min="1" max="1" width="9.140625" bestFit="1" customWidth="1"/>
    <col min="2" max="2" width="23.42578125" bestFit="1" customWidth="1"/>
    <col min="3" max="3" width="2.42578125" bestFit="1" customWidth="1"/>
    <col min="4" max="4" width="16.28515625" bestFit="1" customWidth="1"/>
    <col min="5" max="5" width="8.5703125" bestFit="1" customWidth="1"/>
    <col min="6" max="6" width="14.28515625" bestFit="1" customWidth="1"/>
    <col min="7" max="7" width="17" bestFit="1" customWidth="1"/>
    <col min="8" max="8" width="25.85546875" bestFit="1" customWidth="1"/>
    <col min="9" max="9" width="16.28515625" bestFit="1" customWidth="1"/>
  </cols>
  <sheetData>
    <row r="1" spans="1:9">
      <c r="A1" s="15" t="s">
        <v>870</v>
      </c>
      <c r="B1" s="15">
        <v>52</v>
      </c>
      <c r="I1" s="1"/>
    </row>
    <row r="2" spans="1:9">
      <c r="B2">
        <f>B1-COUNTIF('Commons Table'!$B:$B, "White")</f>
        <v>0</v>
      </c>
      <c r="C2" s="15">
        <f>B1-COUNTIF('Commons Table'!$B:$B, "Blue")</f>
        <v>0</v>
      </c>
      <c r="D2" s="15">
        <f>B1-COUNTIF('Commons Table'!$B:$B, "Black")</f>
        <v>0</v>
      </c>
      <c r="E2" s="15">
        <f>B1-COUNTIF('Commons Table'!$B:$B, "Red")</f>
        <v>0</v>
      </c>
      <c r="F2" s="15">
        <f>B1-COUNTIF('Commons Table'!$B:$B, "Green")</f>
        <v>0</v>
      </c>
      <c r="G2" s="15"/>
      <c r="H2" s="15"/>
    </row>
    <row r="3" spans="1:9">
      <c r="B3" s="30" t="s">
        <v>929</v>
      </c>
      <c r="C3" s="16"/>
      <c r="D3" s="16"/>
      <c r="E3" s="29" t="s">
        <v>389</v>
      </c>
      <c r="F3" s="29" t="s">
        <v>396</v>
      </c>
      <c r="G3" s="16"/>
      <c r="H3" s="29" t="s">
        <v>913</v>
      </c>
      <c r="I3" s="1" t="s">
        <v>383</v>
      </c>
    </row>
    <row r="4" spans="1:9">
      <c r="B4" s="29" t="s">
        <v>603</v>
      </c>
      <c r="C4" s="1"/>
      <c r="F4" s="16"/>
      <c r="G4" s="16"/>
      <c r="H4" s="1"/>
      <c r="I4" s="1" t="s">
        <v>300</v>
      </c>
    </row>
    <row r="5" spans="1:9">
      <c r="B5" s="1"/>
      <c r="G5" s="16"/>
      <c r="H5" s="1"/>
      <c r="I5" s="3" t="s">
        <v>252</v>
      </c>
    </row>
    <row r="6" spans="1:9">
      <c r="B6" s="1"/>
      <c r="C6" s="1"/>
      <c r="G6" s="1"/>
      <c r="H6" s="1"/>
      <c r="I6" s="3" t="s">
        <v>199</v>
      </c>
    </row>
    <row r="7" spans="1:9">
      <c r="B7" s="1"/>
      <c r="C7" s="1"/>
      <c r="G7" s="1"/>
      <c r="H7" s="1"/>
    </row>
    <row r="8" spans="1:9">
      <c r="A8" s="15" t="s">
        <v>870</v>
      </c>
      <c r="B8" s="16">
        <v>31</v>
      </c>
      <c r="C8" s="1"/>
      <c r="D8" s="1"/>
      <c r="E8" s="16"/>
      <c r="F8" s="1"/>
      <c r="G8" s="1"/>
      <c r="H8" s="1"/>
      <c r="I8" s="16"/>
    </row>
    <row r="9" spans="1:9">
      <c r="B9" s="1">
        <f>B8-COUNTIF(Uncommons[Color], "White")</f>
        <v>0</v>
      </c>
      <c r="C9" s="16">
        <f>B8-COUNTIF(Uncommons[Color], "Blue")</f>
        <v>0</v>
      </c>
      <c r="D9" s="1">
        <f>B8-COUNTIF(Uncommons[Color], "Black")</f>
        <v>0</v>
      </c>
      <c r="E9" s="1">
        <f>B8-COUNTIF(Uncommons[Color], "Red")</f>
        <v>0</v>
      </c>
      <c r="F9" s="1">
        <f>B8-COUNTIF(Uncommons[Color], "Green")</f>
        <v>0</v>
      </c>
      <c r="G9" s="1"/>
    </row>
    <row r="10" spans="1:9">
      <c r="B10" s="29" t="s">
        <v>639</v>
      </c>
      <c r="C10" s="16"/>
      <c r="D10" s="29" t="s">
        <v>269</v>
      </c>
      <c r="E10" s="16"/>
      <c r="F10" s="16"/>
      <c r="G10" s="29" t="s">
        <v>224</v>
      </c>
      <c r="H10" s="30" t="s">
        <v>204</v>
      </c>
    </row>
    <row r="11" spans="1:9">
      <c r="B11" s="34"/>
      <c r="C11" s="16"/>
      <c r="E11" s="16"/>
      <c r="F11" s="16"/>
      <c r="G11" s="16"/>
      <c r="H11" s="30" t="s">
        <v>588</v>
      </c>
    </row>
    <row r="12" spans="1:9">
      <c r="B12" s="16"/>
      <c r="C12" s="15"/>
      <c r="H12" s="29" t="s">
        <v>359</v>
      </c>
    </row>
    <row r="13" spans="1:9">
      <c r="C13" s="1"/>
      <c r="F13" s="16"/>
    </row>
    <row r="14" spans="1:9">
      <c r="C14" s="16"/>
      <c r="D14" s="1"/>
      <c r="E14" s="1"/>
    </row>
    <row r="15" spans="1:9">
      <c r="E15" s="1"/>
      <c r="G15" s="1"/>
      <c r="H15" s="1"/>
    </row>
    <row r="16" spans="1:9">
      <c r="B16" s="1"/>
      <c r="C16" s="1"/>
      <c r="D16" s="1"/>
      <c r="E16" s="1"/>
      <c r="F16" s="1"/>
      <c r="H16" s="1"/>
    </row>
    <row r="17" spans="1:8">
      <c r="A17" s="15"/>
    </row>
    <row r="18" spans="1:8">
      <c r="B18" s="15"/>
      <c r="C18" s="15"/>
      <c r="D18" s="15"/>
      <c r="E18" s="15"/>
      <c r="F18" s="15"/>
      <c r="G18" s="28"/>
      <c r="H18" s="27"/>
    </row>
    <row r="19" spans="1:8">
      <c r="B19" s="15"/>
      <c r="C19" s="15"/>
      <c r="D19" s="15"/>
      <c r="E19" s="15"/>
      <c r="F19" s="15"/>
      <c r="G19" s="28"/>
      <c r="H19" s="27"/>
    </row>
    <row r="20" spans="1:8">
      <c r="B20" s="15"/>
      <c r="C20" s="15"/>
      <c r="D20" s="15"/>
      <c r="E20" s="15"/>
      <c r="F20" s="15"/>
      <c r="G20" s="26"/>
      <c r="H20" s="27"/>
    </row>
    <row r="21" spans="1:8">
      <c r="B21" s="15"/>
      <c r="D21" s="15"/>
      <c r="F21" s="15"/>
      <c r="G21" s="26"/>
    </row>
    <row r="22" spans="1:8">
      <c r="D22" s="15"/>
      <c r="F22" s="15"/>
      <c r="G22" s="26"/>
    </row>
    <row r="23" spans="1:8">
      <c r="G23" s="26"/>
    </row>
    <row r="24" spans="1:8">
      <c r="B24" s="15"/>
      <c r="C24" s="15"/>
      <c r="D24" s="15"/>
      <c r="E24" s="15"/>
      <c r="F24" s="15"/>
      <c r="G24" s="26"/>
      <c r="H24" s="15"/>
    </row>
    <row r="25" spans="1:8">
      <c r="B25" s="15"/>
      <c r="C25" s="15"/>
      <c r="D25" s="15"/>
      <c r="E25" s="15"/>
      <c r="F25" s="15"/>
      <c r="G25" s="26"/>
    </row>
    <row r="26" spans="1:8">
      <c r="B26" s="15"/>
      <c r="C26" s="15"/>
      <c r="D26" s="15"/>
      <c r="E26" s="15"/>
      <c r="F26" s="15"/>
      <c r="G26" s="26"/>
    </row>
    <row r="27" spans="1:8">
      <c r="B27" s="15"/>
      <c r="C27" s="15"/>
      <c r="D27" s="15"/>
      <c r="E27" s="15"/>
      <c r="F27" s="15"/>
      <c r="G27" s="26"/>
    </row>
    <row r="28" spans="1:8">
      <c r="C28" s="15"/>
      <c r="D28" s="15"/>
      <c r="E28" s="15"/>
      <c r="F28" s="15"/>
      <c r="G28" s="26"/>
    </row>
    <row r="29" spans="1:8">
      <c r="G29" s="26"/>
    </row>
    <row r="30" spans="1:8">
      <c r="G30" s="26"/>
    </row>
    <row r="31" spans="1:8">
      <c r="G31" s="26"/>
    </row>
    <row r="32" spans="1:8">
      <c r="G32" s="26"/>
    </row>
    <row r="33" spans="7:7">
      <c r="G33" s="26"/>
    </row>
    <row r="34" spans="7:7">
      <c r="G34" s="26"/>
    </row>
    <row r="35" spans="7:7">
      <c r="G35" s="26"/>
    </row>
    <row r="36" spans="7:7">
      <c r="G36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1" tint="0.14999847407452621"/>
  </sheetPr>
  <dimension ref="A1:K21"/>
  <sheetViews>
    <sheetView zoomScale="90" zoomScaleNormal="90" workbookViewId="0">
      <selection activeCell="F11" sqref="F11"/>
    </sheetView>
  </sheetViews>
  <sheetFormatPr defaultColWidth="11.28515625" defaultRowHeight="14.25"/>
  <cols>
    <col min="1" max="1" width="9.5703125" style="1" bestFit="1" customWidth="1"/>
    <col min="2" max="2" width="17.5703125" style="1" bestFit="1" customWidth="1"/>
    <col min="3" max="3" width="5.28515625" style="1" bestFit="1" customWidth="1"/>
    <col min="4" max="4" width="17.5703125" style="1" bestFit="1" customWidth="1"/>
    <col min="5" max="5" width="4.42578125" style="1" bestFit="1" customWidth="1"/>
    <col min="6" max="6" width="15" style="1" bestFit="1" customWidth="1"/>
    <col min="7" max="7" width="5.28515625" style="1" bestFit="1" customWidth="1"/>
    <col min="8" max="8" width="3.28515625" style="2" bestFit="1" customWidth="1"/>
    <col min="9" max="9" width="23.5703125" style="1" bestFit="1" customWidth="1"/>
    <col min="10" max="10" width="2.140625" style="1" bestFit="1" customWidth="1"/>
    <col min="11" max="11" width="19.28515625" style="1" bestFit="1" customWidth="1"/>
    <col min="12" max="16384" width="11.28515625" style="1"/>
  </cols>
  <sheetData>
    <row r="1" spans="1:11">
      <c r="H1" s="1"/>
    </row>
    <row r="2" spans="1:11" ht="15">
      <c r="A2" s="6" t="s">
        <v>373</v>
      </c>
      <c r="I2" s="6" t="s">
        <v>372</v>
      </c>
      <c r="K2" s="6" t="s">
        <v>391</v>
      </c>
    </row>
    <row r="3" spans="1:11">
      <c r="A3" s="1">
        <f>COUNTA(Commons[CardName])</f>
        <v>350</v>
      </c>
      <c r="B3" s="1" t="s">
        <v>361</v>
      </c>
      <c r="C3" s="32">
        <f>COUNTIF(Commons[Type2], "Creature")/A3</f>
        <v>0.56857142857142862</v>
      </c>
      <c r="D3" s="1" t="s">
        <v>461</v>
      </c>
      <c r="E3" s="11">
        <f>COUNTA(Uncommons[CardName])</f>
        <v>242</v>
      </c>
      <c r="F3" s="11" t="s">
        <v>362</v>
      </c>
      <c r="G3" s="33">
        <f>COUNTIF(Uncommons[Type2], "Creature")/E3</f>
        <v>0.52892561983471076</v>
      </c>
      <c r="I3" s="7" t="s">
        <v>111</v>
      </c>
      <c r="K3" s="1" t="s">
        <v>7</v>
      </c>
    </row>
    <row r="4" spans="1:11">
      <c r="A4" s="9"/>
      <c r="B4" s="19"/>
      <c r="C4" s="31">
        <f>A13/A3</f>
        <v>0.18</v>
      </c>
      <c r="D4" s="9" t="s">
        <v>477</v>
      </c>
      <c r="E4" s="9"/>
      <c r="F4" s="19"/>
      <c r="G4" s="31">
        <f>COUNTIF(Uncommons[[Theme1]:[Theme2]], "Removal")/E3</f>
        <v>0.2231404958677686</v>
      </c>
      <c r="I4" s="1" t="s">
        <v>462</v>
      </c>
      <c r="K4" s="1" t="s">
        <v>4</v>
      </c>
    </row>
    <row r="5" spans="1:11">
      <c r="I5" s="1" t="s">
        <v>639</v>
      </c>
      <c r="K5" s="1" t="s">
        <v>29</v>
      </c>
    </row>
    <row r="6" spans="1:11">
      <c r="A6" s="1">
        <f>COUNTIF(Commons[[Sub Type1]:[Sub Type3]], "Rebel")</f>
        <v>38</v>
      </c>
      <c r="B6" s="4" t="s">
        <v>398</v>
      </c>
      <c r="C6" s="16">
        <f>COUNTIF(Uncommons[[Sub Type1]:[Sub Type3]], "Rebel")</f>
        <v>30</v>
      </c>
      <c r="D6" s="4" t="s">
        <v>398</v>
      </c>
      <c r="E6" s="16"/>
      <c r="F6" s="16"/>
      <c r="I6" s="1" t="s">
        <v>640</v>
      </c>
      <c r="K6" s="8" t="s">
        <v>45</v>
      </c>
    </row>
    <row r="7" spans="1:11">
      <c r="A7" s="1">
        <f>COUNTIF(Commons[[Sub Type1]:[Sub Type3]], "Human")</f>
        <v>37</v>
      </c>
      <c r="B7" s="5" t="s">
        <v>483</v>
      </c>
      <c r="C7" s="16">
        <f>COUNTIF(Uncommons[[Sub Type1]:[Sub Type3]], "Human")</f>
        <v>31</v>
      </c>
      <c r="D7" s="5" t="s">
        <v>483</v>
      </c>
      <c r="I7" s="1" t="s">
        <v>641</v>
      </c>
      <c r="K7" s="1" t="s">
        <v>40</v>
      </c>
    </row>
    <row r="8" spans="1:11">
      <c r="A8" s="1">
        <f>COUNTIF(Commons[[Sub Type1]:[Sub Type3]], "Warrior")</f>
        <v>18</v>
      </c>
      <c r="B8" s="4" t="s">
        <v>403</v>
      </c>
      <c r="C8" s="16">
        <f>COUNTIF(Uncommons[[Sub Type1]:[Sub Type3]], "Warrior")</f>
        <v>11</v>
      </c>
      <c r="D8" s="4" t="s">
        <v>403</v>
      </c>
      <c r="I8" s="1" t="s">
        <v>638</v>
      </c>
    </row>
    <row r="9" spans="1:11" ht="15">
      <c r="A9" s="1">
        <f>COUNTIF(Commons[[Sub Type1]:[Sub Type3]], "Shaman")</f>
        <v>12</v>
      </c>
      <c r="B9" s="4" t="s">
        <v>405</v>
      </c>
      <c r="C9" s="16">
        <f>COUNTIF(Uncommons[[Sub Type1]:[Sub Type3]], "Shaman")</f>
        <v>6</v>
      </c>
      <c r="D9" s="4" t="s">
        <v>405</v>
      </c>
      <c r="I9" s="1" t="s">
        <v>1</v>
      </c>
      <c r="K9" s="6" t="s">
        <v>956</v>
      </c>
    </row>
    <row r="10" spans="1:11">
      <c r="A10" s="1">
        <f>COUNTIF(Commons[[Sub Type1]:[Sub Type3]], "Wizard")</f>
        <v>14</v>
      </c>
      <c r="B10" s="17" t="s">
        <v>400</v>
      </c>
      <c r="C10" s="16">
        <f>COUNTIF(Uncommons[[Sub Type1]:[Sub Type3]], "Wizard")</f>
        <v>14</v>
      </c>
      <c r="D10" s="4" t="s">
        <v>400</v>
      </c>
      <c r="K10" s="1" t="s">
        <v>568</v>
      </c>
    </row>
    <row r="11" spans="1:11">
      <c r="A11" s="16"/>
      <c r="K11" s="8" t="s">
        <v>425</v>
      </c>
    </row>
    <row r="12" spans="1:11">
      <c r="K12" s="1" t="s">
        <v>277</v>
      </c>
    </row>
    <row r="13" spans="1:11">
      <c r="A13" s="1">
        <f>COUNTIF(Commons[[Theme1]:[Theme2]], "Removal")</f>
        <v>63</v>
      </c>
      <c r="B13" s="1" t="s">
        <v>477</v>
      </c>
      <c r="C13" s="16">
        <f>COUNTIF(Uncommons[[Theme1]:[Theme2]], "Removal")</f>
        <v>54</v>
      </c>
      <c r="D13" s="16" t="s">
        <v>477</v>
      </c>
      <c r="K13" s="1" t="s">
        <v>611</v>
      </c>
    </row>
    <row r="14" spans="1:11">
      <c r="A14" s="14">
        <f>COUNTIFS(Commons[CMC], "&lt;3", Commons[Type2], "Instant")/1.3</f>
        <v>18.46153846153846</v>
      </c>
      <c r="B14" s="4" t="s">
        <v>694</v>
      </c>
      <c r="C14" s="14">
        <f>COUNTIFS(Uncommons[CMC], "&lt;3", Uncommons[Type2], "Instant")/1.2</f>
        <v>6.666666666666667</v>
      </c>
      <c r="D14" s="4" t="s">
        <v>694</v>
      </c>
    </row>
    <row r="15" spans="1:11">
      <c r="A15" s="1">
        <f>COUNTIF(Commons[[Theme1]:[Theme2]], "Sac. Outlet")</f>
        <v>47</v>
      </c>
      <c r="B15" s="5" t="s">
        <v>695</v>
      </c>
      <c r="C15" s="16">
        <f>COUNTIF(Uncommons[[Theme1]:[Theme2]], "Sac. Outlet")</f>
        <v>23</v>
      </c>
      <c r="D15" s="5" t="s">
        <v>695</v>
      </c>
    </row>
    <row r="16" spans="1:11">
      <c r="A16" s="1">
        <f>COUNTIFS(Commons[Type2], "Creature",Commons[CMC], "&gt;5")</f>
        <v>14</v>
      </c>
      <c r="B16" s="4" t="s">
        <v>696</v>
      </c>
      <c r="C16" s="16">
        <f>COUNTIFS(Uncommons[Type2], "Creature", Uncommons[CMC], "&gt;5")</f>
        <v>14</v>
      </c>
      <c r="D16" s="4" t="s">
        <v>696</v>
      </c>
    </row>
    <row r="17" spans="1:4">
      <c r="A17" s="1">
        <f>COUNTIFS('Commons Table'!E:E, "Aura", 'Commons Table'!K:K, "")</f>
        <v>3</v>
      </c>
      <c r="B17" s="4" t="s">
        <v>705</v>
      </c>
      <c r="C17" s="16">
        <f>COUNTIFS('Uncommons Table'!E:E, "Aura", 'Uncommons Table'!K:K, "")</f>
        <v>5</v>
      </c>
      <c r="D17" s="4" t="s">
        <v>705</v>
      </c>
    </row>
    <row r="18" spans="1:4">
      <c r="A18" s="1">
        <f>COUNTIFS('Commons Table'!E:E, "Aura", 'Commons Table'!K:K, "Removal")</f>
        <v>10</v>
      </c>
      <c r="B18" s="1" t="s">
        <v>706</v>
      </c>
      <c r="C18" s="16">
        <f>COUNTIFS('Uncommons Table'!E:E, "Aura", 'Uncommons Table'!K:K, "Removal")</f>
        <v>5</v>
      </c>
      <c r="D18" s="16" t="s">
        <v>823</v>
      </c>
    </row>
    <row r="19" spans="1:4">
      <c r="A19" s="1">
        <f>COUNTIF(Commons[[Ability1]:[Ability2]], "Flashback")+COUNTIF(Commons[[Ability1]:[Ability2]], "Unearth")+COUNTIF(Commons[[Ability1]:[Ability2]], "Dredge")+COUNTIF(Commons[[Ability1]:[Ability2]], "Recover")</f>
        <v>17</v>
      </c>
      <c r="B19" s="4" t="s">
        <v>707</v>
      </c>
      <c r="C19" s="16">
        <f>COUNTIF(Uncommons[[Ability1]:[Ability2]], "Flashback")+COUNTIF(Uncommons[[Ability1]:[Ability2]], "Unearth")+COUNTIF(Uncommons[[Ability1]:[Ability2]], "Dredge")+COUNTIF(Uncommons[[Ability1]:[Ability2]], "Recover")+COUNTIF(Uncommons[[Ability1]:[Ability2]], "Incarnation")</f>
        <v>8</v>
      </c>
      <c r="D19" s="17" t="s">
        <v>707</v>
      </c>
    </row>
    <row r="20" spans="1:4">
      <c r="A20" s="1">
        <f>COUNTIF(Commons[[Theme1]:[Theme2]], "Discard Outlet")</f>
        <v>12</v>
      </c>
      <c r="B20" s="4" t="s">
        <v>718</v>
      </c>
      <c r="C20" s="16">
        <f>COUNTIF(Uncommons[[Theme1]:[Theme2]], "Discard Outlet")</f>
        <v>7</v>
      </c>
      <c r="D20" s="4" t="s">
        <v>718</v>
      </c>
    </row>
    <row r="21" spans="1:4">
      <c r="A21" s="1">
        <f>COUNTIF(Commons[[Ability1]:[Ability2]], "Madness")</f>
        <v>3</v>
      </c>
      <c r="B21" s="10" t="s">
        <v>429</v>
      </c>
      <c r="C21" s="16">
        <f>COUNTIF(Uncommons[[Ability1]:[Ability2]], "Madness")</f>
        <v>4</v>
      </c>
      <c r="D21" s="10" t="s">
        <v>429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55" zoomScale="70" zoomScaleNormal="70" workbookViewId="0">
      <selection activeCell="N52" sqref="N52"/>
    </sheetView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57"/>
  <sheetViews>
    <sheetView zoomScale="80" zoomScaleNormal="80" workbookViewId="0">
      <selection activeCell="A6" sqref="A6"/>
    </sheetView>
  </sheetViews>
  <sheetFormatPr defaultRowHeight="15"/>
  <cols>
    <col min="1" max="1" width="27.140625" bestFit="1" customWidth="1"/>
    <col min="2" max="2" width="10.28515625" bestFit="1" customWidth="1"/>
    <col min="3" max="3" width="8" bestFit="1" customWidth="1"/>
    <col min="4" max="4" width="13.85546875" bestFit="1" customWidth="1"/>
    <col min="5" max="5" width="11.7109375" bestFit="1" customWidth="1"/>
    <col min="6" max="8" width="13.140625" bestFit="1" customWidth="1"/>
    <col min="9" max="9" width="18" bestFit="1" customWidth="1"/>
    <col min="10" max="10" width="13.85546875" bestFit="1" customWidth="1"/>
    <col min="11" max="11" width="11.5703125" bestFit="1" customWidth="1"/>
    <col min="12" max="12" width="15.28515625" bestFit="1" customWidth="1"/>
    <col min="13" max="13" width="20" bestFit="1" customWidth="1"/>
    <col min="14" max="14" width="9.85546875" bestFit="1" customWidth="1"/>
    <col min="15" max="16" width="12.85546875" bestFit="1" customWidth="1"/>
  </cols>
  <sheetData>
    <row r="1" spans="1:14">
      <c r="A1" t="s">
        <v>645</v>
      </c>
      <c r="B1" t="s">
        <v>646</v>
      </c>
      <c r="C1" t="s">
        <v>647</v>
      </c>
      <c r="D1" t="s">
        <v>649</v>
      </c>
      <c r="E1" t="s">
        <v>650</v>
      </c>
      <c r="F1" t="s">
        <v>700</v>
      </c>
      <c r="G1" t="s">
        <v>701</v>
      </c>
      <c r="H1" t="s">
        <v>702</v>
      </c>
      <c r="I1" t="s">
        <v>664</v>
      </c>
      <c r="J1" t="s">
        <v>663</v>
      </c>
      <c r="K1" t="s">
        <v>716</v>
      </c>
      <c r="L1" t="s">
        <v>715</v>
      </c>
      <c r="M1" s="15" t="s">
        <v>873</v>
      </c>
      <c r="N1" s="15" t="s">
        <v>874</v>
      </c>
    </row>
    <row r="2" spans="1:14">
      <c r="A2" s="15" t="s">
        <v>624</v>
      </c>
      <c r="B2" s="15" t="s">
        <v>735</v>
      </c>
      <c r="C2" s="15">
        <v>1</v>
      </c>
      <c r="D2" s="15" t="s">
        <v>698</v>
      </c>
      <c r="E2" s="15" t="s">
        <v>699</v>
      </c>
      <c r="F2" s="15"/>
      <c r="G2" s="15"/>
      <c r="H2" s="15"/>
      <c r="I2" s="15"/>
      <c r="J2" s="15"/>
      <c r="K2" s="15" t="s">
        <v>477</v>
      </c>
      <c r="L2" s="15"/>
      <c r="M2" s="15" t="s">
        <v>477</v>
      </c>
      <c r="N2" s="15">
        <v>2</v>
      </c>
    </row>
    <row r="3" spans="1:14">
      <c r="A3" t="s">
        <v>45</v>
      </c>
      <c r="B3" t="s">
        <v>735</v>
      </c>
      <c r="C3">
        <v>1</v>
      </c>
      <c r="E3" t="s">
        <v>654</v>
      </c>
      <c r="F3" t="s">
        <v>482</v>
      </c>
      <c r="G3" t="s">
        <v>736</v>
      </c>
      <c r="I3" t="s">
        <v>738</v>
      </c>
      <c r="J3" s="15" t="s">
        <v>655</v>
      </c>
      <c r="M3" s="15" t="s">
        <v>882</v>
      </c>
      <c r="N3">
        <v>3</v>
      </c>
    </row>
    <row r="4" spans="1:14">
      <c r="A4" t="s">
        <v>368</v>
      </c>
      <c r="B4" t="s">
        <v>735</v>
      </c>
      <c r="C4">
        <v>1</v>
      </c>
      <c r="E4" t="s">
        <v>654</v>
      </c>
      <c r="F4" t="s">
        <v>484</v>
      </c>
      <c r="G4" t="s">
        <v>736</v>
      </c>
      <c r="M4" s="15" t="s">
        <v>882</v>
      </c>
      <c r="N4">
        <v>3</v>
      </c>
    </row>
    <row r="5" spans="1:14">
      <c r="A5" t="s">
        <v>500</v>
      </c>
      <c r="B5" t="s">
        <v>735</v>
      </c>
      <c r="C5">
        <v>1</v>
      </c>
      <c r="D5" t="s">
        <v>660</v>
      </c>
      <c r="E5" t="s">
        <v>654</v>
      </c>
      <c r="F5" t="s">
        <v>741</v>
      </c>
      <c r="I5" t="s">
        <v>678</v>
      </c>
      <c r="J5" t="s">
        <v>745</v>
      </c>
      <c r="M5" s="15" t="s">
        <v>885</v>
      </c>
      <c r="N5">
        <v>3</v>
      </c>
    </row>
    <row r="6" spans="1:14">
      <c r="A6" t="s">
        <v>605</v>
      </c>
      <c r="B6" t="s">
        <v>735</v>
      </c>
      <c r="C6">
        <v>1</v>
      </c>
      <c r="E6" t="s">
        <v>654</v>
      </c>
      <c r="F6" t="s">
        <v>676</v>
      </c>
      <c r="J6" s="15"/>
      <c r="M6" s="15" t="s">
        <v>882</v>
      </c>
      <c r="N6">
        <v>2</v>
      </c>
    </row>
    <row r="7" spans="1:14">
      <c r="A7" t="s">
        <v>430</v>
      </c>
      <c r="B7" t="s">
        <v>735</v>
      </c>
      <c r="C7">
        <v>1</v>
      </c>
      <c r="E7" t="s">
        <v>654</v>
      </c>
      <c r="F7" t="s">
        <v>737</v>
      </c>
      <c r="L7" t="s">
        <v>682</v>
      </c>
      <c r="M7" s="15" t="s">
        <v>879</v>
      </c>
      <c r="N7">
        <v>2</v>
      </c>
    </row>
    <row r="8" spans="1:14">
      <c r="A8" t="s">
        <v>920</v>
      </c>
      <c r="B8" t="s">
        <v>735</v>
      </c>
      <c r="C8">
        <v>1</v>
      </c>
      <c r="E8" t="s">
        <v>654</v>
      </c>
      <c r="F8" t="s">
        <v>748</v>
      </c>
      <c r="J8" s="15" t="s">
        <v>787</v>
      </c>
      <c r="M8" s="15" t="s">
        <v>889</v>
      </c>
      <c r="N8">
        <v>2</v>
      </c>
    </row>
    <row r="9" spans="1:14">
      <c r="A9" s="15" t="s">
        <v>35</v>
      </c>
      <c r="B9" s="15" t="s">
        <v>735</v>
      </c>
      <c r="C9" s="15">
        <v>1</v>
      </c>
      <c r="D9" s="15"/>
      <c r="E9" s="15" t="s">
        <v>697</v>
      </c>
      <c r="F9" s="15"/>
      <c r="G9" s="15"/>
      <c r="H9" s="15"/>
      <c r="I9" s="15"/>
      <c r="J9" s="15"/>
      <c r="K9" s="15" t="s">
        <v>477</v>
      </c>
      <c r="L9" s="15"/>
      <c r="M9" s="15" t="s">
        <v>477</v>
      </c>
      <c r="N9" s="15">
        <v>4</v>
      </c>
    </row>
    <row r="10" spans="1:14">
      <c r="A10" s="15" t="s">
        <v>43</v>
      </c>
      <c r="B10" s="15" t="s">
        <v>735</v>
      </c>
      <c r="C10" s="15">
        <v>1</v>
      </c>
      <c r="D10" s="15"/>
      <c r="E10" s="15" t="s">
        <v>697</v>
      </c>
      <c r="F10" s="15"/>
      <c r="G10" s="15"/>
      <c r="H10" s="15"/>
      <c r="I10" s="15"/>
      <c r="J10" s="15"/>
      <c r="K10" s="15" t="s">
        <v>477</v>
      </c>
      <c r="L10" s="15"/>
      <c r="M10" s="15" t="s">
        <v>477</v>
      </c>
      <c r="N10" s="15">
        <v>2</v>
      </c>
    </row>
    <row r="11" spans="1:14">
      <c r="A11" s="15" t="s">
        <v>284</v>
      </c>
      <c r="B11" s="15" t="s">
        <v>735</v>
      </c>
      <c r="C11" s="15">
        <v>1</v>
      </c>
      <c r="D11" s="15"/>
      <c r="E11" s="15" t="s">
        <v>659</v>
      </c>
      <c r="F11" s="15"/>
      <c r="G11" s="15"/>
      <c r="H11" s="15"/>
      <c r="I11" s="15" t="s">
        <v>704</v>
      </c>
      <c r="J11" s="15"/>
      <c r="K11" s="15"/>
      <c r="L11" s="15"/>
      <c r="M11" s="15" t="s">
        <v>884</v>
      </c>
      <c r="N11" s="15">
        <v>3</v>
      </c>
    </row>
    <row r="12" spans="1:14">
      <c r="A12" t="s">
        <v>919</v>
      </c>
      <c r="B12" t="s">
        <v>735</v>
      </c>
      <c r="C12">
        <v>1</v>
      </c>
      <c r="E12" t="s">
        <v>659</v>
      </c>
      <c r="J12" t="s">
        <v>703</v>
      </c>
      <c r="M12" s="15" t="s">
        <v>898</v>
      </c>
      <c r="N12">
        <v>2</v>
      </c>
    </row>
    <row r="13" spans="1:14">
      <c r="A13" t="s">
        <v>37</v>
      </c>
      <c r="B13" t="s">
        <v>735</v>
      </c>
      <c r="C13">
        <v>1</v>
      </c>
      <c r="D13" t="s">
        <v>660</v>
      </c>
      <c r="K13" t="s">
        <v>477</v>
      </c>
      <c r="L13" t="s">
        <v>682</v>
      </c>
      <c r="M13" s="15" t="s">
        <v>477</v>
      </c>
      <c r="N13">
        <v>3</v>
      </c>
    </row>
    <row r="14" spans="1:14">
      <c r="A14" t="s">
        <v>40</v>
      </c>
      <c r="B14" t="s">
        <v>735</v>
      </c>
      <c r="C14">
        <v>2</v>
      </c>
      <c r="E14" t="s">
        <v>654</v>
      </c>
      <c r="F14" t="s">
        <v>739</v>
      </c>
      <c r="G14" t="s">
        <v>736</v>
      </c>
      <c r="I14" t="s">
        <v>727</v>
      </c>
      <c r="J14" t="s">
        <v>655</v>
      </c>
      <c r="M14" s="15" t="s">
        <v>882</v>
      </c>
      <c r="N14">
        <v>3</v>
      </c>
    </row>
    <row r="15" spans="1:14">
      <c r="A15" s="15" t="s">
        <v>533</v>
      </c>
      <c r="B15" s="15" t="s">
        <v>735</v>
      </c>
      <c r="C15" s="15">
        <v>2</v>
      </c>
      <c r="D15" s="15"/>
      <c r="E15" s="15" t="s">
        <v>654</v>
      </c>
      <c r="F15" s="15" t="s">
        <v>683</v>
      </c>
      <c r="G15" s="15" t="s">
        <v>652</v>
      </c>
      <c r="H15" s="15"/>
      <c r="I15" s="15"/>
      <c r="J15" s="15" t="s">
        <v>744</v>
      </c>
      <c r="K15" s="15"/>
      <c r="L15" s="15"/>
      <c r="M15" s="15" t="s">
        <v>882</v>
      </c>
      <c r="N15" s="15">
        <v>3</v>
      </c>
    </row>
    <row r="16" spans="1:14">
      <c r="A16" t="s">
        <v>167</v>
      </c>
      <c r="B16" t="s">
        <v>735</v>
      </c>
      <c r="C16">
        <v>2</v>
      </c>
      <c r="E16" t="s">
        <v>654</v>
      </c>
      <c r="F16" t="s">
        <v>740</v>
      </c>
      <c r="G16" t="s">
        <v>648</v>
      </c>
      <c r="I16" t="s">
        <v>714</v>
      </c>
      <c r="M16" s="15" t="s">
        <v>882</v>
      </c>
      <c r="N16">
        <v>3</v>
      </c>
    </row>
    <row r="17" spans="1:14">
      <c r="A17" t="s">
        <v>283</v>
      </c>
      <c r="B17" t="s">
        <v>735</v>
      </c>
      <c r="C17">
        <v>2</v>
      </c>
      <c r="E17" t="s">
        <v>654</v>
      </c>
      <c r="F17" t="s">
        <v>741</v>
      </c>
      <c r="I17" t="s">
        <v>678</v>
      </c>
      <c r="M17" s="15" t="s">
        <v>882</v>
      </c>
      <c r="N17">
        <v>3</v>
      </c>
    </row>
    <row r="18" spans="1:14">
      <c r="A18" t="s">
        <v>627</v>
      </c>
      <c r="B18" t="s">
        <v>735</v>
      </c>
      <c r="C18">
        <v>2</v>
      </c>
      <c r="E18" t="s">
        <v>654</v>
      </c>
      <c r="F18" t="s">
        <v>484</v>
      </c>
      <c r="G18" t="s">
        <v>673</v>
      </c>
      <c r="I18" t="s">
        <v>678</v>
      </c>
      <c r="M18" s="15" t="s">
        <v>882</v>
      </c>
      <c r="N18">
        <v>3</v>
      </c>
    </row>
    <row r="19" spans="1:14">
      <c r="A19" t="s">
        <v>243</v>
      </c>
      <c r="B19" t="s">
        <v>735</v>
      </c>
      <c r="C19">
        <v>2</v>
      </c>
      <c r="E19" t="s">
        <v>654</v>
      </c>
      <c r="F19" t="s">
        <v>742</v>
      </c>
      <c r="G19" t="s">
        <v>684</v>
      </c>
      <c r="I19" t="s">
        <v>727</v>
      </c>
      <c r="L19" t="s">
        <v>682</v>
      </c>
      <c r="M19" s="15" t="s">
        <v>875</v>
      </c>
      <c r="N19">
        <v>3</v>
      </c>
    </row>
    <row r="20" spans="1:14">
      <c r="A20" s="15" t="s">
        <v>165</v>
      </c>
      <c r="B20" s="15" t="s">
        <v>735</v>
      </c>
      <c r="C20" s="15">
        <v>2</v>
      </c>
      <c r="D20" s="15"/>
      <c r="E20" s="15" t="s">
        <v>654</v>
      </c>
      <c r="F20" s="15" t="s">
        <v>482</v>
      </c>
      <c r="G20" s="15" t="s">
        <v>683</v>
      </c>
      <c r="H20" s="15" t="s">
        <v>653</v>
      </c>
      <c r="I20" s="15"/>
      <c r="J20" s="15" t="s">
        <v>667</v>
      </c>
      <c r="K20" s="15"/>
      <c r="L20" s="15"/>
      <c r="M20" s="15" t="s">
        <v>667</v>
      </c>
      <c r="N20" s="15">
        <v>3</v>
      </c>
    </row>
    <row r="21" spans="1:14">
      <c r="A21" t="s">
        <v>431</v>
      </c>
      <c r="B21" t="s">
        <v>735</v>
      </c>
      <c r="C21">
        <v>2</v>
      </c>
      <c r="E21" t="s">
        <v>654</v>
      </c>
      <c r="F21" t="s">
        <v>482</v>
      </c>
      <c r="G21" t="s">
        <v>712</v>
      </c>
      <c r="H21" t="s">
        <v>653</v>
      </c>
      <c r="M21" s="15" t="s">
        <v>879</v>
      </c>
      <c r="N21">
        <v>3</v>
      </c>
    </row>
    <row r="22" spans="1:14">
      <c r="A22" t="s">
        <v>532</v>
      </c>
      <c r="B22" t="s">
        <v>735</v>
      </c>
      <c r="C22">
        <v>2</v>
      </c>
      <c r="E22" t="s">
        <v>654</v>
      </c>
      <c r="F22" t="s">
        <v>743</v>
      </c>
      <c r="I22" t="s">
        <v>678</v>
      </c>
      <c r="M22" s="15" t="s">
        <v>882</v>
      </c>
      <c r="N22">
        <v>2</v>
      </c>
    </row>
    <row r="23" spans="1:14">
      <c r="A23" s="15" t="s">
        <v>170</v>
      </c>
      <c r="B23" s="15" t="s">
        <v>735</v>
      </c>
      <c r="C23" s="15">
        <v>2</v>
      </c>
      <c r="D23" s="15"/>
      <c r="E23" s="15" t="s">
        <v>697</v>
      </c>
      <c r="F23" s="15"/>
      <c r="G23" s="15"/>
      <c r="H23" s="15"/>
      <c r="I23" s="15" t="s">
        <v>746</v>
      </c>
      <c r="J23" s="15"/>
      <c r="K23" s="15"/>
      <c r="L23" s="15"/>
      <c r="M23" s="15" t="s">
        <v>884</v>
      </c>
      <c r="N23" s="15">
        <v>3</v>
      </c>
    </row>
    <row r="24" spans="1:14">
      <c r="A24" t="s">
        <v>36</v>
      </c>
      <c r="B24" t="s">
        <v>735</v>
      </c>
      <c r="C24">
        <v>2</v>
      </c>
      <c r="E24" t="s">
        <v>697</v>
      </c>
      <c r="K24" t="s">
        <v>477</v>
      </c>
      <c r="M24" s="15" t="s">
        <v>477</v>
      </c>
      <c r="N24">
        <v>3</v>
      </c>
    </row>
    <row r="25" spans="1:14">
      <c r="A25" s="15" t="s">
        <v>191</v>
      </c>
      <c r="B25" s="15" t="s">
        <v>735</v>
      </c>
      <c r="C25" s="15">
        <v>2</v>
      </c>
      <c r="D25" s="15"/>
      <c r="E25" s="15" t="s">
        <v>697</v>
      </c>
      <c r="F25" s="15"/>
      <c r="G25" s="15"/>
      <c r="H25" s="15"/>
      <c r="I25" s="15"/>
      <c r="J25" s="15"/>
      <c r="K25" s="15" t="s">
        <v>477</v>
      </c>
      <c r="L25" s="15"/>
      <c r="M25" s="15" t="s">
        <v>477</v>
      </c>
      <c r="N25" s="15">
        <v>2</v>
      </c>
    </row>
    <row r="26" spans="1:14">
      <c r="A26" s="15" t="s">
        <v>41</v>
      </c>
      <c r="B26" s="15" t="s">
        <v>735</v>
      </c>
      <c r="C26" s="15">
        <v>2</v>
      </c>
      <c r="D26" s="15"/>
      <c r="E26" s="15" t="s">
        <v>659</v>
      </c>
      <c r="F26" s="15"/>
      <c r="G26" s="15"/>
      <c r="H26" s="15"/>
      <c r="I26" s="15"/>
      <c r="J26" s="15"/>
      <c r="K26" s="15"/>
      <c r="L26" s="15"/>
      <c r="M26" s="15" t="s">
        <v>877</v>
      </c>
      <c r="N26" s="15">
        <v>3</v>
      </c>
    </row>
    <row r="27" spans="1:14">
      <c r="A27" s="15" t="s">
        <v>418</v>
      </c>
      <c r="B27" s="15" t="s">
        <v>735</v>
      </c>
      <c r="C27" s="15">
        <v>2</v>
      </c>
      <c r="D27" s="15"/>
      <c r="E27" s="15" t="s">
        <v>659</v>
      </c>
      <c r="F27" s="15"/>
      <c r="G27" s="15"/>
      <c r="H27" s="15"/>
      <c r="I27" s="15"/>
      <c r="J27" s="15"/>
      <c r="K27" s="15"/>
      <c r="L27" s="15" t="s">
        <v>717</v>
      </c>
      <c r="M27" s="15" t="s">
        <v>884</v>
      </c>
      <c r="N27" s="15">
        <v>3</v>
      </c>
    </row>
    <row r="28" spans="1:14">
      <c r="A28" s="15" t="s">
        <v>534</v>
      </c>
      <c r="B28" s="15" t="s">
        <v>735</v>
      </c>
      <c r="C28" s="15">
        <v>3</v>
      </c>
      <c r="D28" s="15"/>
      <c r="E28" s="15" t="s">
        <v>654</v>
      </c>
      <c r="F28" s="15" t="s">
        <v>748</v>
      </c>
      <c r="G28" s="15"/>
      <c r="H28" s="15"/>
      <c r="I28" s="15"/>
      <c r="J28" s="15"/>
      <c r="K28" s="15" t="s">
        <v>477</v>
      </c>
      <c r="L28" s="15"/>
      <c r="M28" s="15" t="s">
        <v>877</v>
      </c>
      <c r="N28" s="15">
        <v>4</v>
      </c>
    </row>
    <row r="29" spans="1:14">
      <c r="A29" t="s">
        <v>214</v>
      </c>
      <c r="B29" t="s">
        <v>735</v>
      </c>
      <c r="C29">
        <v>3</v>
      </c>
      <c r="E29" t="s">
        <v>654</v>
      </c>
      <c r="F29" t="s">
        <v>737</v>
      </c>
      <c r="M29" s="15" t="s">
        <v>881</v>
      </c>
      <c r="N29">
        <v>3</v>
      </c>
    </row>
    <row r="30" spans="1:14">
      <c r="A30" t="s">
        <v>195</v>
      </c>
      <c r="B30" t="s">
        <v>735</v>
      </c>
      <c r="C30">
        <v>3</v>
      </c>
      <c r="E30" t="s">
        <v>654</v>
      </c>
      <c r="F30" t="s">
        <v>748</v>
      </c>
      <c r="M30" s="15" t="s">
        <v>881</v>
      </c>
      <c r="N30">
        <v>3</v>
      </c>
    </row>
    <row r="31" spans="1:14">
      <c r="A31" t="s">
        <v>302</v>
      </c>
      <c r="B31" t="s">
        <v>735</v>
      </c>
      <c r="C31">
        <v>3</v>
      </c>
      <c r="E31" t="s">
        <v>654</v>
      </c>
      <c r="F31" t="s">
        <v>749</v>
      </c>
      <c r="I31" t="s">
        <v>678</v>
      </c>
      <c r="M31" s="15" t="s">
        <v>881</v>
      </c>
      <c r="N31">
        <v>3</v>
      </c>
    </row>
    <row r="32" spans="1:14">
      <c r="A32" s="15" t="s">
        <v>558</v>
      </c>
      <c r="B32" s="15" t="s">
        <v>735</v>
      </c>
      <c r="C32" s="15">
        <v>3</v>
      </c>
      <c r="D32" s="15"/>
      <c r="E32" s="15" t="s">
        <v>654</v>
      </c>
      <c r="F32" s="15" t="s">
        <v>740</v>
      </c>
      <c r="G32" s="15" t="s">
        <v>750</v>
      </c>
      <c r="H32" s="15"/>
      <c r="I32" s="15" t="s">
        <v>714</v>
      </c>
      <c r="J32" s="15"/>
      <c r="K32" s="15"/>
      <c r="L32" s="15"/>
      <c r="M32" s="15" t="s">
        <v>882</v>
      </c>
      <c r="N32" s="15">
        <v>3</v>
      </c>
    </row>
    <row r="33" spans="1:14">
      <c r="A33" s="15" t="s">
        <v>417</v>
      </c>
      <c r="B33" s="15" t="s">
        <v>735</v>
      </c>
      <c r="C33" s="15">
        <v>3</v>
      </c>
      <c r="D33" s="15"/>
      <c r="E33" s="15" t="s">
        <v>654</v>
      </c>
      <c r="F33" s="15" t="s">
        <v>741</v>
      </c>
      <c r="G33" s="15"/>
      <c r="H33" s="15" t="s">
        <v>653</v>
      </c>
      <c r="I33" s="15" t="s">
        <v>678</v>
      </c>
      <c r="J33" s="15" t="s">
        <v>751</v>
      </c>
      <c r="K33" s="15"/>
      <c r="L33" s="15" t="s">
        <v>717</v>
      </c>
      <c r="M33" s="15" t="s">
        <v>886</v>
      </c>
      <c r="N33" s="15">
        <v>3</v>
      </c>
    </row>
    <row r="34" spans="1:14">
      <c r="A34" t="s">
        <v>626</v>
      </c>
      <c r="B34" t="s">
        <v>735</v>
      </c>
      <c r="C34">
        <v>3</v>
      </c>
      <c r="E34" t="s">
        <v>654</v>
      </c>
      <c r="F34" t="s">
        <v>484</v>
      </c>
      <c r="H34" t="s">
        <v>653</v>
      </c>
      <c r="I34" t="s">
        <v>745</v>
      </c>
      <c r="M34" s="15" t="s">
        <v>954</v>
      </c>
      <c r="N34">
        <v>3</v>
      </c>
    </row>
    <row r="35" spans="1:14">
      <c r="A35" s="15" t="s">
        <v>495</v>
      </c>
      <c r="B35" s="15" t="s">
        <v>735</v>
      </c>
      <c r="C35" s="15">
        <v>3</v>
      </c>
      <c r="D35" s="15"/>
      <c r="E35" s="15" t="s">
        <v>654</v>
      </c>
      <c r="F35" s="15" t="s">
        <v>482</v>
      </c>
      <c r="G35" s="15" t="s">
        <v>683</v>
      </c>
      <c r="H35" s="15"/>
      <c r="I35" s="15" t="s">
        <v>738</v>
      </c>
      <c r="J35" s="15"/>
      <c r="K35" s="15" t="s">
        <v>477</v>
      </c>
      <c r="L35" s="15"/>
      <c r="M35" s="15" t="s">
        <v>879</v>
      </c>
      <c r="N35" s="15">
        <v>3</v>
      </c>
    </row>
    <row r="36" spans="1:14">
      <c r="A36" s="15" t="s">
        <v>33</v>
      </c>
      <c r="B36" s="15" t="s">
        <v>735</v>
      </c>
      <c r="C36" s="15">
        <v>3</v>
      </c>
      <c r="D36" s="15"/>
      <c r="E36" s="15" t="s">
        <v>654</v>
      </c>
      <c r="F36" s="15" t="s">
        <v>484</v>
      </c>
      <c r="G36" s="15" t="s">
        <v>747</v>
      </c>
      <c r="H36" s="15"/>
      <c r="I36" s="15"/>
      <c r="J36" s="15"/>
      <c r="K36" s="15"/>
      <c r="L36" s="15"/>
      <c r="M36" s="15" t="s">
        <v>880</v>
      </c>
      <c r="N36" s="15">
        <v>2</v>
      </c>
    </row>
    <row r="37" spans="1:14">
      <c r="A37" s="15" t="s">
        <v>34</v>
      </c>
      <c r="B37" s="15" t="s">
        <v>735</v>
      </c>
      <c r="C37" s="15">
        <v>3</v>
      </c>
      <c r="D37" s="15"/>
      <c r="E37" s="15" t="s">
        <v>654</v>
      </c>
      <c r="F37" s="15" t="s">
        <v>741</v>
      </c>
      <c r="G37" s="15"/>
      <c r="H37" s="15"/>
      <c r="I37" s="15" t="s">
        <v>678</v>
      </c>
      <c r="J37" s="15"/>
      <c r="K37" s="15"/>
      <c r="L37" s="15"/>
      <c r="M37" s="15" t="s">
        <v>955</v>
      </c>
      <c r="N37" s="15">
        <v>2</v>
      </c>
    </row>
    <row r="38" spans="1:14">
      <c r="A38" s="15" t="s">
        <v>421</v>
      </c>
      <c r="B38" s="15" t="s">
        <v>735</v>
      </c>
      <c r="C38" s="15">
        <v>3</v>
      </c>
      <c r="D38" s="15"/>
      <c r="E38" s="15" t="s">
        <v>654</v>
      </c>
      <c r="F38" s="15" t="s">
        <v>482</v>
      </c>
      <c r="G38" s="15" t="s">
        <v>711</v>
      </c>
      <c r="H38" s="15"/>
      <c r="I38" s="15"/>
      <c r="J38" s="15"/>
      <c r="K38" s="15"/>
      <c r="L38" s="15" t="s">
        <v>717</v>
      </c>
      <c r="M38" s="15" t="s">
        <v>889</v>
      </c>
      <c r="N38" s="15">
        <v>2</v>
      </c>
    </row>
    <row r="39" spans="1:14">
      <c r="A39" t="s">
        <v>498</v>
      </c>
      <c r="B39" t="s">
        <v>735</v>
      </c>
      <c r="C39">
        <v>3</v>
      </c>
      <c r="E39" t="s">
        <v>697</v>
      </c>
      <c r="I39" t="s">
        <v>519</v>
      </c>
      <c r="K39" t="s">
        <v>477</v>
      </c>
      <c r="M39" s="15" t="s">
        <v>519</v>
      </c>
      <c r="N39">
        <v>3</v>
      </c>
    </row>
    <row r="40" spans="1:14">
      <c r="A40" t="s">
        <v>181</v>
      </c>
      <c r="B40" t="s">
        <v>735</v>
      </c>
      <c r="C40">
        <v>3</v>
      </c>
      <c r="E40" t="s">
        <v>697</v>
      </c>
      <c r="J40" t="s">
        <v>703</v>
      </c>
      <c r="K40" t="s">
        <v>477</v>
      </c>
      <c r="M40" s="15" t="s">
        <v>477</v>
      </c>
      <c r="N40">
        <v>3</v>
      </c>
    </row>
    <row r="41" spans="1:14">
      <c r="A41" t="s">
        <v>126</v>
      </c>
      <c r="B41" t="s">
        <v>735</v>
      </c>
      <c r="C41">
        <v>3</v>
      </c>
      <c r="E41" t="s">
        <v>659</v>
      </c>
      <c r="H41" s="15"/>
      <c r="I41" t="s">
        <v>704</v>
      </c>
      <c r="J41" t="s">
        <v>520</v>
      </c>
      <c r="K41" t="s">
        <v>477</v>
      </c>
      <c r="M41" s="15" t="s">
        <v>477</v>
      </c>
      <c r="N41">
        <v>3</v>
      </c>
    </row>
    <row r="42" spans="1:14">
      <c r="A42" s="15" t="s">
        <v>217</v>
      </c>
      <c r="B42" s="15" t="s">
        <v>735</v>
      </c>
      <c r="C42" s="15">
        <v>3</v>
      </c>
      <c r="D42" s="15" t="s">
        <v>698</v>
      </c>
      <c r="E42" s="15"/>
      <c r="F42" s="15"/>
      <c r="G42" s="15"/>
      <c r="H42" s="15"/>
      <c r="I42" s="15"/>
      <c r="J42" s="15"/>
      <c r="K42" s="15" t="s">
        <v>477</v>
      </c>
      <c r="L42" s="15" t="s">
        <v>682</v>
      </c>
      <c r="M42" s="15" t="s">
        <v>477</v>
      </c>
      <c r="N42" s="15">
        <v>3</v>
      </c>
    </row>
    <row r="43" spans="1:14">
      <c r="A43" t="s">
        <v>245</v>
      </c>
      <c r="B43" t="s">
        <v>735</v>
      </c>
      <c r="C43">
        <v>4</v>
      </c>
      <c r="E43" t="s">
        <v>654</v>
      </c>
      <c r="F43" t="s">
        <v>754</v>
      </c>
      <c r="G43" t="s">
        <v>737</v>
      </c>
      <c r="J43" s="15"/>
      <c r="K43" t="s">
        <v>477</v>
      </c>
      <c r="M43" s="15" t="s">
        <v>879</v>
      </c>
      <c r="N43">
        <v>3</v>
      </c>
    </row>
    <row r="44" spans="1:14">
      <c r="A44" s="15" t="s">
        <v>499</v>
      </c>
      <c r="B44" s="15" t="s">
        <v>735</v>
      </c>
      <c r="C44" s="15">
        <v>4</v>
      </c>
      <c r="D44" s="15" t="s">
        <v>660</v>
      </c>
      <c r="E44" s="15" t="s">
        <v>654</v>
      </c>
      <c r="F44" s="15" t="s">
        <v>737</v>
      </c>
      <c r="G44" s="15"/>
      <c r="H44" s="15"/>
      <c r="I44" s="15"/>
      <c r="J44" s="15" t="s">
        <v>686</v>
      </c>
      <c r="K44" s="15"/>
      <c r="L44" s="15"/>
      <c r="M44" s="15" t="s">
        <v>879</v>
      </c>
      <c r="N44" s="15">
        <v>3</v>
      </c>
    </row>
    <row r="45" spans="1:14">
      <c r="A45" s="15" t="s">
        <v>39</v>
      </c>
      <c r="B45" s="15" t="s">
        <v>735</v>
      </c>
      <c r="C45" s="15">
        <v>4</v>
      </c>
      <c r="D45" s="15"/>
      <c r="E45" s="15" t="s">
        <v>654</v>
      </c>
      <c r="F45" s="15" t="s">
        <v>753</v>
      </c>
      <c r="G45" s="15"/>
      <c r="H45" s="15"/>
      <c r="I45" s="15" t="s">
        <v>678</v>
      </c>
      <c r="J45" s="15" t="s">
        <v>686</v>
      </c>
      <c r="K45" s="15" t="s">
        <v>477</v>
      </c>
      <c r="L45" s="15"/>
      <c r="M45" s="15" t="s">
        <v>879</v>
      </c>
      <c r="N45" s="15">
        <v>2</v>
      </c>
    </row>
    <row r="46" spans="1:14">
      <c r="A46" t="s">
        <v>44</v>
      </c>
      <c r="B46" t="s">
        <v>735</v>
      </c>
      <c r="C46">
        <v>4</v>
      </c>
      <c r="E46" t="s">
        <v>654</v>
      </c>
      <c r="F46" t="s">
        <v>739</v>
      </c>
      <c r="G46" t="s">
        <v>752</v>
      </c>
      <c r="H46" t="s">
        <v>736</v>
      </c>
      <c r="I46" s="15" t="s">
        <v>704</v>
      </c>
      <c r="J46" t="s">
        <v>284</v>
      </c>
      <c r="M46" s="15" t="s">
        <v>889</v>
      </c>
      <c r="N46">
        <v>2</v>
      </c>
    </row>
    <row r="47" spans="1:14">
      <c r="A47" s="15" t="s">
        <v>371</v>
      </c>
      <c r="B47" s="15" t="s">
        <v>735</v>
      </c>
      <c r="C47" s="15">
        <v>4</v>
      </c>
      <c r="D47" s="15"/>
      <c r="E47" s="15" t="s">
        <v>697</v>
      </c>
      <c r="F47" s="15"/>
      <c r="G47" s="15"/>
      <c r="H47" s="15"/>
      <c r="I47" s="15"/>
      <c r="J47" s="15"/>
      <c r="K47" s="15" t="s">
        <v>477</v>
      </c>
      <c r="L47" s="15"/>
      <c r="M47" s="15" t="s">
        <v>477</v>
      </c>
      <c r="N47" s="15">
        <v>4</v>
      </c>
    </row>
    <row r="48" spans="1:14">
      <c r="A48" s="15" t="s">
        <v>897</v>
      </c>
      <c r="B48" s="15" t="s">
        <v>735</v>
      </c>
      <c r="C48" s="15">
        <v>4</v>
      </c>
      <c r="D48" s="15"/>
      <c r="E48" s="15" t="s">
        <v>697</v>
      </c>
      <c r="F48" s="15"/>
      <c r="G48" s="15"/>
      <c r="H48" s="15"/>
      <c r="I48" s="15"/>
      <c r="J48" s="15"/>
      <c r="K48" s="15" t="s">
        <v>477</v>
      </c>
      <c r="L48" s="15"/>
      <c r="M48" s="15" t="s">
        <v>877</v>
      </c>
      <c r="N48" s="15">
        <v>3</v>
      </c>
    </row>
    <row r="49" spans="1:14">
      <c r="A49" t="s">
        <v>382</v>
      </c>
      <c r="B49" t="s">
        <v>735</v>
      </c>
      <c r="C49">
        <v>5</v>
      </c>
      <c r="E49" t="s">
        <v>654</v>
      </c>
      <c r="F49" t="s">
        <v>748</v>
      </c>
      <c r="G49" t="s">
        <v>724</v>
      </c>
      <c r="J49" t="s">
        <v>726</v>
      </c>
      <c r="M49" s="15" t="s">
        <v>875</v>
      </c>
      <c r="N49">
        <v>4</v>
      </c>
    </row>
    <row r="50" spans="1:14">
      <c r="A50" s="15" t="s">
        <v>111</v>
      </c>
      <c r="B50" s="15" t="s">
        <v>735</v>
      </c>
      <c r="C50" s="15">
        <v>5</v>
      </c>
      <c r="D50" s="15"/>
      <c r="E50" s="15" t="s">
        <v>654</v>
      </c>
      <c r="F50" s="15" t="s">
        <v>739</v>
      </c>
      <c r="G50" s="15"/>
      <c r="H50" s="15"/>
      <c r="I50" s="15"/>
      <c r="J50" s="15" t="s">
        <v>399</v>
      </c>
      <c r="K50" s="15"/>
      <c r="L50" s="15"/>
      <c r="M50" s="15" t="s">
        <v>885</v>
      </c>
      <c r="N50" s="15">
        <v>3</v>
      </c>
    </row>
    <row r="51" spans="1:14">
      <c r="A51" s="15" t="s">
        <v>756</v>
      </c>
      <c r="B51" s="15" t="s">
        <v>735</v>
      </c>
      <c r="C51" s="15">
        <v>6</v>
      </c>
      <c r="D51" s="15"/>
      <c r="E51" s="15" t="s">
        <v>654</v>
      </c>
      <c r="F51" s="15" t="s">
        <v>739</v>
      </c>
      <c r="G51" s="15"/>
      <c r="H51" s="15"/>
      <c r="I51" s="15" t="s">
        <v>757</v>
      </c>
      <c r="J51" s="15" t="s">
        <v>727</v>
      </c>
      <c r="K51" s="15"/>
      <c r="L51" s="15"/>
      <c r="M51" s="15" t="s">
        <v>661</v>
      </c>
      <c r="N51" s="15">
        <v>3</v>
      </c>
    </row>
    <row r="52" spans="1:14">
      <c r="A52" s="15" t="s">
        <v>598</v>
      </c>
      <c r="B52" s="15" t="s">
        <v>735</v>
      </c>
      <c r="C52" s="15">
        <v>6</v>
      </c>
      <c r="D52" s="15"/>
      <c r="E52" s="15" t="s">
        <v>659</v>
      </c>
      <c r="F52" s="15"/>
      <c r="G52" s="15"/>
      <c r="H52" s="15"/>
      <c r="I52" s="15"/>
      <c r="J52" s="15"/>
      <c r="K52" s="15" t="s">
        <v>477</v>
      </c>
      <c r="L52" s="15"/>
      <c r="M52" s="15" t="s">
        <v>877</v>
      </c>
      <c r="N52" s="15">
        <v>3</v>
      </c>
    </row>
    <row r="53" spans="1:14">
      <c r="A53" t="s">
        <v>31</v>
      </c>
      <c r="B53" t="s">
        <v>735</v>
      </c>
      <c r="C53">
        <v>7</v>
      </c>
      <c r="E53" t="s">
        <v>659</v>
      </c>
      <c r="I53" t="s">
        <v>734</v>
      </c>
      <c r="M53" s="15" t="s">
        <v>876</v>
      </c>
      <c r="N53">
        <v>3</v>
      </c>
    </row>
    <row r="54" spans="1:14">
      <c r="A54" s="15" t="s">
        <v>29</v>
      </c>
      <c r="B54" s="15" t="s">
        <v>658</v>
      </c>
      <c r="C54" s="15">
        <v>1</v>
      </c>
      <c r="D54" s="15"/>
      <c r="E54" s="15" t="s">
        <v>654</v>
      </c>
      <c r="F54" s="15" t="s">
        <v>397</v>
      </c>
      <c r="G54" s="15" t="s">
        <v>684</v>
      </c>
      <c r="H54" s="15"/>
      <c r="I54" s="15" t="s">
        <v>678</v>
      </c>
      <c r="J54" s="15" t="s">
        <v>655</v>
      </c>
      <c r="K54" s="15"/>
      <c r="L54" s="15"/>
      <c r="M54" s="15" t="s">
        <v>882</v>
      </c>
      <c r="N54" s="15">
        <v>4</v>
      </c>
    </row>
    <row r="55" spans="1:14">
      <c r="A55" t="s">
        <v>593</v>
      </c>
      <c r="B55" t="s">
        <v>658</v>
      </c>
      <c r="C55">
        <v>1</v>
      </c>
      <c r="E55" t="s">
        <v>654</v>
      </c>
      <c r="F55" t="s">
        <v>708</v>
      </c>
      <c r="G55" t="s">
        <v>709</v>
      </c>
      <c r="M55" s="15" t="s">
        <v>882</v>
      </c>
      <c r="N55">
        <v>4</v>
      </c>
    </row>
    <row r="56" spans="1:14">
      <c r="A56" s="15" t="s">
        <v>943</v>
      </c>
      <c r="B56" s="15" t="s">
        <v>658</v>
      </c>
      <c r="C56" s="15">
        <v>1</v>
      </c>
      <c r="D56" s="15"/>
      <c r="E56" s="15" t="s">
        <v>654</v>
      </c>
      <c r="F56" s="15" t="s">
        <v>482</v>
      </c>
      <c r="G56" s="15" t="s">
        <v>684</v>
      </c>
      <c r="H56" s="15"/>
      <c r="I56" s="15"/>
      <c r="J56" s="15"/>
      <c r="K56" s="15"/>
      <c r="L56" s="15"/>
      <c r="M56" s="15" t="s">
        <v>882</v>
      </c>
      <c r="N56" s="15">
        <v>3</v>
      </c>
    </row>
    <row r="57" spans="1:14">
      <c r="A57" s="15" t="s">
        <v>298</v>
      </c>
      <c r="B57" s="15" t="s">
        <v>658</v>
      </c>
      <c r="C57" s="15">
        <v>1</v>
      </c>
      <c r="D57" s="15"/>
      <c r="E57" s="15" t="s">
        <v>697</v>
      </c>
      <c r="F57" s="15"/>
      <c r="G57" s="15"/>
      <c r="H57" s="15"/>
      <c r="I57" s="15"/>
      <c r="J57" s="15"/>
      <c r="K57" s="15"/>
      <c r="L57" s="15"/>
      <c r="M57" s="15" t="s">
        <v>891</v>
      </c>
      <c r="N57" s="15">
        <v>4</v>
      </c>
    </row>
    <row r="58" spans="1:14">
      <c r="A58" t="s">
        <v>154</v>
      </c>
      <c r="B58" t="s">
        <v>658</v>
      </c>
      <c r="C58">
        <v>1</v>
      </c>
      <c r="E58" t="s">
        <v>697</v>
      </c>
      <c r="J58" t="s">
        <v>710</v>
      </c>
      <c r="M58" s="15" t="s">
        <v>887</v>
      </c>
      <c r="N58">
        <v>4</v>
      </c>
    </row>
    <row r="59" spans="1:14">
      <c r="A59" s="15" t="s">
        <v>115</v>
      </c>
      <c r="B59" s="15" t="s">
        <v>658</v>
      </c>
      <c r="C59" s="15">
        <v>1</v>
      </c>
      <c r="D59" s="15"/>
      <c r="E59" s="15" t="s">
        <v>697</v>
      </c>
      <c r="F59" s="15"/>
      <c r="G59" s="15"/>
      <c r="H59" s="15"/>
      <c r="I59" s="15"/>
      <c r="J59" s="15"/>
      <c r="K59" s="15"/>
      <c r="L59" s="15"/>
      <c r="M59" s="15" t="s">
        <v>888</v>
      </c>
      <c r="N59" s="15">
        <v>3</v>
      </c>
    </row>
    <row r="60" spans="1:14">
      <c r="A60" t="s">
        <v>27</v>
      </c>
      <c r="B60" t="s">
        <v>658</v>
      </c>
      <c r="C60">
        <v>1</v>
      </c>
      <c r="E60" t="s">
        <v>659</v>
      </c>
      <c r="M60" s="15" t="s">
        <v>891</v>
      </c>
      <c r="N60">
        <v>3</v>
      </c>
    </row>
    <row r="61" spans="1:14">
      <c r="A61" s="15" t="s">
        <v>491</v>
      </c>
      <c r="B61" s="15" t="s">
        <v>658</v>
      </c>
      <c r="C61" s="15">
        <v>1</v>
      </c>
      <c r="D61" s="15"/>
      <c r="E61" s="15" t="s">
        <v>659</v>
      </c>
      <c r="F61" s="15"/>
      <c r="G61" s="15"/>
      <c r="H61" s="15"/>
      <c r="I61" s="15"/>
      <c r="J61" s="15"/>
      <c r="K61" s="15"/>
      <c r="L61" s="15"/>
      <c r="M61" s="15" t="s">
        <v>885</v>
      </c>
      <c r="N61" s="15">
        <v>3</v>
      </c>
    </row>
    <row r="62" spans="1:14">
      <c r="A62" s="15" t="s">
        <v>922</v>
      </c>
      <c r="B62" s="15" t="s">
        <v>658</v>
      </c>
      <c r="C62" s="15">
        <v>1</v>
      </c>
      <c r="D62" s="15"/>
      <c r="E62" s="15" t="s">
        <v>659</v>
      </c>
      <c r="F62" s="15"/>
      <c r="G62" s="15"/>
      <c r="H62" s="15"/>
      <c r="I62" s="15"/>
      <c r="J62" s="15" t="s">
        <v>703</v>
      </c>
      <c r="K62" s="15"/>
      <c r="L62" s="15"/>
      <c r="M62" s="15" t="s">
        <v>888</v>
      </c>
      <c r="N62" s="15">
        <v>2</v>
      </c>
    </row>
    <row r="63" spans="1:14">
      <c r="A63" s="15" t="s">
        <v>26</v>
      </c>
      <c r="B63" s="15" t="s">
        <v>658</v>
      </c>
      <c r="C63" s="15">
        <v>2</v>
      </c>
      <c r="D63" s="15" t="s">
        <v>698</v>
      </c>
      <c r="E63" s="15" t="s">
        <v>699</v>
      </c>
      <c r="F63" s="15"/>
      <c r="G63" s="15"/>
      <c r="H63" s="15"/>
      <c r="I63" s="15"/>
      <c r="J63" s="15"/>
      <c r="K63" s="15" t="s">
        <v>477</v>
      </c>
      <c r="L63" s="15"/>
      <c r="M63" s="15" t="s">
        <v>477</v>
      </c>
      <c r="N63" s="15">
        <v>3</v>
      </c>
    </row>
    <row r="64" spans="1:14">
      <c r="A64" t="s">
        <v>489</v>
      </c>
      <c r="B64" t="s">
        <v>658</v>
      </c>
      <c r="C64">
        <v>2</v>
      </c>
      <c r="E64" t="s">
        <v>654</v>
      </c>
      <c r="F64" t="s">
        <v>482</v>
      </c>
      <c r="G64" t="s">
        <v>684</v>
      </c>
      <c r="L64" t="s">
        <v>717</v>
      </c>
      <c r="M64" s="15" t="s">
        <v>890</v>
      </c>
      <c r="N64">
        <v>4</v>
      </c>
    </row>
    <row r="65" spans="1:14">
      <c r="A65" s="15" t="s">
        <v>177</v>
      </c>
      <c r="B65" t="s">
        <v>658</v>
      </c>
      <c r="C65">
        <v>2</v>
      </c>
      <c r="E65" t="s">
        <v>654</v>
      </c>
      <c r="F65" s="15" t="s">
        <v>672</v>
      </c>
      <c r="G65" t="s">
        <v>712</v>
      </c>
      <c r="I65" t="s">
        <v>714</v>
      </c>
      <c r="L65" t="s">
        <v>717</v>
      </c>
      <c r="M65" s="15" t="s">
        <v>890</v>
      </c>
      <c r="N65">
        <v>4</v>
      </c>
    </row>
    <row r="66" spans="1:14">
      <c r="A66" s="15" t="s">
        <v>24</v>
      </c>
      <c r="B66" s="15" t="s">
        <v>658</v>
      </c>
      <c r="C66" s="15">
        <v>2</v>
      </c>
      <c r="D66" s="15"/>
      <c r="E66" s="15" t="s">
        <v>654</v>
      </c>
      <c r="F66" s="15" t="s">
        <v>397</v>
      </c>
      <c r="G66" s="15" t="s">
        <v>712</v>
      </c>
      <c r="H66" s="15"/>
      <c r="I66" s="15"/>
      <c r="J66" s="15"/>
      <c r="K66" s="15"/>
      <c r="L66" s="15" t="s">
        <v>717</v>
      </c>
      <c r="M66" s="15" t="s">
        <v>890</v>
      </c>
      <c r="N66" s="15">
        <v>4</v>
      </c>
    </row>
    <row r="67" spans="1:14">
      <c r="A67" t="s">
        <v>493</v>
      </c>
      <c r="B67" t="s">
        <v>658</v>
      </c>
      <c r="C67">
        <v>2</v>
      </c>
      <c r="D67" t="s">
        <v>660</v>
      </c>
      <c r="E67" t="s">
        <v>654</v>
      </c>
      <c r="F67" t="s">
        <v>721</v>
      </c>
      <c r="I67" t="s">
        <v>678</v>
      </c>
      <c r="J67" t="s">
        <v>686</v>
      </c>
      <c r="M67" s="15" t="s">
        <v>885</v>
      </c>
      <c r="N67">
        <v>4</v>
      </c>
    </row>
    <row r="68" spans="1:14">
      <c r="A68" s="15" t="s">
        <v>381</v>
      </c>
      <c r="B68" s="15" t="s">
        <v>658</v>
      </c>
      <c r="C68" s="15">
        <v>2</v>
      </c>
      <c r="D68" s="15"/>
      <c r="E68" s="15" t="s">
        <v>654</v>
      </c>
      <c r="F68" s="15" t="s">
        <v>397</v>
      </c>
      <c r="G68" s="15" t="s">
        <v>648</v>
      </c>
      <c r="H68" s="15"/>
      <c r="I68" s="15" t="s">
        <v>713</v>
      </c>
      <c r="J68" s="15" t="s">
        <v>655</v>
      </c>
      <c r="L68" s="15"/>
      <c r="M68" s="15" t="s">
        <v>889</v>
      </c>
      <c r="N68" s="15">
        <v>4</v>
      </c>
    </row>
    <row r="69" spans="1:14">
      <c r="A69" t="s">
        <v>915</v>
      </c>
      <c r="B69" t="s">
        <v>658</v>
      </c>
      <c r="C69">
        <v>2</v>
      </c>
      <c r="E69" t="s">
        <v>654</v>
      </c>
      <c r="F69" t="s">
        <v>916</v>
      </c>
      <c r="L69" t="s">
        <v>682</v>
      </c>
      <c r="M69" s="15" t="s">
        <v>889</v>
      </c>
      <c r="N69">
        <v>2</v>
      </c>
    </row>
    <row r="70" spans="1:14">
      <c r="A70" s="15" t="s">
        <v>337</v>
      </c>
      <c r="B70" s="15" t="s">
        <v>658</v>
      </c>
      <c r="C70" s="15">
        <v>2</v>
      </c>
      <c r="D70" s="15"/>
      <c r="E70" s="15" t="s">
        <v>697</v>
      </c>
      <c r="F70" s="15"/>
      <c r="G70" s="15"/>
      <c r="H70" s="15"/>
      <c r="I70" s="15"/>
      <c r="J70" s="15"/>
      <c r="K70" s="15"/>
      <c r="L70" s="15"/>
      <c r="M70" s="15" t="s">
        <v>887</v>
      </c>
      <c r="N70" s="15">
        <v>4</v>
      </c>
    </row>
    <row r="71" spans="1:14">
      <c r="A71" t="s">
        <v>178</v>
      </c>
      <c r="B71" t="s">
        <v>658</v>
      </c>
      <c r="C71">
        <v>2</v>
      </c>
      <c r="E71" t="s">
        <v>697</v>
      </c>
      <c r="M71" s="15" t="s">
        <v>887</v>
      </c>
      <c r="N71">
        <v>3</v>
      </c>
    </row>
    <row r="72" spans="1:14">
      <c r="A72" s="15" t="s">
        <v>317</v>
      </c>
      <c r="B72" s="15" t="s">
        <v>658</v>
      </c>
      <c r="C72" s="15">
        <v>2</v>
      </c>
      <c r="D72" s="15"/>
      <c r="E72" s="15" t="s">
        <v>697</v>
      </c>
      <c r="F72" s="15"/>
      <c r="G72" s="15"/>
      <c r="H72" s="15"/>
      <c r="I72" s="15"/>
      <c r="J72" s="15"/>
      <c r="K72" s="15" t="s">
        <v>477</v>
      </c>
      <c r="L72" s="15"/>
      <c r="M72" s="15" t="s">
        <v>887</v>
      </c>
      <c r="N72" s="15">
        <v>2</v>
      </c>
    </row>
    <row r="73" spans="1:14">
      <c r="A73" t="s">
        <v>377</v>
      </c>
      <c r="B73" t="s">
        <v>658</v>
      </c>
      <c r="C73">
        <v>2</v>
      </c>
      <c r="E73" t="s">
        <v>659</v>
      </c>
      <c r="M73" s="15" t="s">
        <v>878</v>
      </c>
      <c r="N73">
        <v>2</v>
      </c>
    </row>
    <row r="74" spans="1:14">
      <c r="A74" s="15" t="s">
        <v>21</v>
      </c>
      <c r="B74" s="15" t="s">
        <v>658</v>
      </c>
      <c r="C74" s="15">
        <v>2</v>
      </c>
      <c r="D74" s="15" t="s">
        <v>660</v>
      </c>
      <c r="E74" s="15"/>
      <c r="F74" s="15"/>
      <c r="G74" s="15"/>
      <c r="H74" s="15"/>
      <c r="I74" s="15"/>
      <c r="J74" s="15"/>
      <c r="K74" s="15"/>
      <c r="L74" s="15" t="s">
        <v>682</v>
      </c>
      <c r="M74" s="15" t="s">
        <v>878</v>
      </c>
      <c r="N74" s="15">
        <v>3</v>
      </c>
    </row>
    <row r="75" spans="1:14">
      <c r="A75" t="s">
        <v>223</v>
      </c>
      <c r="B75" t="s">
        <v>658</v>
      </c>
      <c r="C75">
        <v>3</v>
      </c>
      <c r="E75" t="s">
        <v>654</v>
      </c>
      <c r="F75" t="s">
        <v>482</v>
      </c>
      <c r="G75" t="s">
        <v>684</v>
      </c>
      <c r="M75" s="15" t="s">
        <v>881</v>
      </c>
      <c r="N75">
        <v>4</v>
      </c>
    </row>
    <row r="76" spans="1:14">
      <c r="A76" s="15" t="s">
        <v>308</v>
      </c>
      <c r="B76" s="15" t="s">
        <v>658</v>
      </c>
      <c r="C76" s="15">
        <v>3</v>
      </c>
      <c r="D76" s="15"/>
      <c r="E76" s="15" t="s">
        <v>654</v>
      </c>
      <c r="F76" s="15" t="s">
        <v>482</v>
      </c>
      <c r="G76" s="15" t="s">
        <v>684</v>
      </c>
      <c r="H76" s="15"/>
      <c r="I76" s="15"/>
      <c r="J76" s="15"/>
      <c r="K76" s="15"/>
      <c r="L76" s="15"/>
      <c r="M76" s="15" t="s">
        <v>950</v>
      </c>
      <c r="N76" s="15">
        <v>4</v>
      </c>
    </row>
    <row r="77" spans="1:14">
      <c r="A77" s="15" t="s">
        <v>28</v>
      </c>
      <c r="B77" s="15" t="s">
        <v>658</v>
      </c>
      <c r="C77" s="15">
        <v>3</v>
      </c>
      <c r="D77" s="15"/>
      <c r="E77" s="15" t="s">
        <v>654</v>
      </c>
      <c r="F77" s="15" t="s">
        <v>482</v>
      </c>
      <c r="G77" s="15" t="s">
        <v>684</v>
      </c>
      <c r="H77" s="15"/>
      <c r="I77" s="15"/>
      <c r="J77" s="15"/>
      <c r="K77" s="15"/>
      <c r="L77" s="15"/>
      <c r="M77" s="15" t="s">
        <v>881</v>
      </c>
      <c r="N77" s="15">
        <v>3</v>
      </c>
    </row>
    <row r="78" spans="1:14">
      <c r="A78" s="15" t="s">
        <v>426</v>
      </c>
      <c r="B78" s="15" t="s">
        <v>658</v>
      </c>
      <c r="C78" s="15">
        <v>3</v>
      </c>
      <c r="D78" s="15"/>
      <c r="E78" s="15" t="s">
        <v>654</v>
      </c>
      <c r="F78" s="15" t="s">
        <v>397</v>
      </c>
      <c r="G78" s="15" t="s">
        <v>712</v>
      </c>
      <c r="H78" s="15"/>
      <c r="I78" s="15"/>
      <c r="J78" s="15"/>
      <c r="K78" s="15"/>
      <c r="L78" s="15"/>
      <c r="M78" s="15" t="s">
        <v>881</v>
      </c>
      <c r="N78" s="15">
        <v>3</v>
      </c>
    </row>
    <row r="79" spans="1:14">
      <c r="A79" t="s">
        <v>155</v>
      </c>
      <c r="B79" t="s">
        <v>658</v>
      </c>
      <c r="C79">
        <v>3</v>
      </c>
      <c r="E79" t="s">
        <v>654</v>
      </c>
      <c r="F79" t="s">
        <v>720</v>
      </c>
      <c r="I79" t="s">
        <v>678</v>
      </c>
      <c r="L79" t="s">
        <v>682</v>
      </c>
      <c r="M79" s="15" t="s">
        <v>887</v>
      </c>
      <c r="N79">
        <v>3</v>
      </c>
    </row>
    <row r="80" spans="1:14">
      <c r="A80" t="s">
        <v>623</v>
      </c>
      <c r="B80" t="s">
        <v>658</v>
      </c>
      <c r="C80">
        <v>3</v>
      </c>
      <c r="E80" t="s">
        <v>654</v>
      </c>
      <c r="F80" t="s">
        <v>739</v>
      </c>
      <c r="G80" t="s">
        <v>720</v>
      </c>
      <c r="I80" t="s">
        <v>678</v>
      </c>
      <c r="M80" s="15" t="s">
        <v>886</v>
      </c>
      <c r="N80">
        <v>3</v>
      </c>
    </row>
    <row r="81" spans="1:14">
      <c r="A81" t="s">
        <v>108</v>
      </c>
      <c r="B81" t="s">
        <v>658</v>
      </c>
      <c r="C81">
        <v>3</v>
      </c>
      <c r="E81" t="s">
        <v>654</v>
      </c>
      <c r="G81" t="s">
        <v>709</v>
      </c>
      <c r="J81" t="s">
        <v>399</v>
      </c>
      <c r="K81" t="s">
        <v>477</v>
      </c>
      <c r="M81" s="15" t="s">
        <v>879</v>
      </c>
      <c r="N81">
        <v>3</v>
      </c>
    </row>
    <row r="82" spans="1:14">
      <c r="A82" t="s">
        <v>20</v>
      </c>
      <c r="B82" t="s">
        <v>658</v>
      </c>
      <c r="C82">
        <v>3</v>
      </c>
      <c r="E82" t="s">
        <v>654</v>
      </c>
      <c r="F82" t="s">
        <v>719</v>
      </c>
      <c r="I82" t="s">
        <v>690</v>
      </c>
      <c r="J82" t="s">
        <v>669</v>
      </c>
      <c r="M82" s="15" t="s">
        <v>889</v>
      </c>
      <c r="N82">
        <v>3</v>
      </c>
    </row>
    <row r="83" spans="1:14">
      <c r="A83" s="15" t="s">
        <v>427</v>
      </c>
      <c r="B83" s="15" t="s">
        <v>658</v>
      </c>
      <c r="C83" s="15">
        <v>3</v>
      </c>
      <c r="D83" s="15"/>
      <c r="E83" s="15" t="s">
        <v>654</v>
      </c>
      <c r="F83" s="15" t="s">
        <v>722</v>
      </c>
      <c r="G83" s="15" t="s">
        <v>712</v>
      </c>
      <c r="H83" s="15"/>
      <c r="I83" s="15" t="s">
        <v>678</v>
      </c>
      <c r="J83" s="15"/>
      <c r="K83" s="15"/>
      <c r="L83" s="15"/>
      <c r="M83" s="15" t="s">
        <v>886</v>
      </c>
      <c r="N83" s="15">
        <v>2</v>
      </c>
    </row>
    <row r="84" spans="1:14">
      <c r="A84" s="15" t="s">
        <v>531</v>
      </c>
      <c r="B84" s="15" t="s">
        <v>658</v>
      </c>
      <c r="C84" s="15">
        <v>3</v>
      </c>
      <c r="D84" s="15"/>
      <c r="E84" s="15" t="s">
        <v>697</v>
      </c>
      <c r="F84" s="15"/>
      <c r="G84" s="15"/>
      <c r="H84" s="15"/>
      <c r="I84" s="15" t="s">
        <v>723</v>
      </c>
      <c r="J84" s="15"/>
      <c r="K84" s="15"/>
      <c r="L84" s="15"/>
      <c r="M84" s="15" t="s">
        <v>888</v>
      </c>
      <c r="N84" s="15">
        <v>4</v>
      </c>
    </row>
    <row r="85" spans="1:14">
      <c r="A85" t="s">
        <v>320</v>
      </c>
      <c r="B85" t="s">
        <v>658</v>
      </c>
      <c r="C85">
        <v>3</v>
      </c>
      <c r="E85" t="s">
        <v>697</v>
      </c>
      <c r="M85" s="15" t="s">
        <v>888</v>
      </c>
      <c r="N85">
        <v>4</v>
      </c>
    </row>
    <row r="86" spans="1:14">
      <c r="A86" t="s">
        <v>288</v>
      </c>
      <c r="B86" t="s">
        <v>658</v>
      </c>
      <c r="C86">
        <v>3</v>
      </c>
      <c r="E86" t="s">
        <v>697</v>
      </c>
      <c r="K86" t="s">
        <v>477</v>
      </c>
      <c r="M86" s="15" t="s">
        <v>887</v>
      </c>
      <c r="N86">
        <v>4</v>
      </c>
    </row>
    <row r="87" spans="1:14">
      <c r="A87" t="s">
        <v>926</v>
      </c>
      <c r="B87" t="s">
        <v>658</v>
      </c>
      <c r="C87">
        <v>3</v>
      </c>
      <c r="E87" t="s">
        <v>697</v>
      </c>
      <c r="J87" t="s">
        <v>703</v>
      </c>
      <c r="M87" s="15" t="s">
        <v>901</v>
      </c>
      <c r="N87">
        <v>2</v>
      </c>
    </row>
    <row r="88" spans="1:14">
      <c r="A88" t="s">
        <v>299</v>
      </c>
      <c r="B88" t="s">
        <v>658</v>
      </c>
      <c r="C88">
        <v>3</v>
      </c>
      <c r="E88" t="s">
        <v>659</v>
      </c>
      <c r="J88" t="s">
        <v>686</v>
      </c>
      <c r="L88" t="s">
        <v>717</v>
      </c>
      <c r="M88" s="15" t="s">
        <v>878</v>
      </c>
      <c r="N88">
        <v>4</v>
      </c>
    </row>
    <row r="89" spans="1:14">
      <c r="A89" s="15" t="s">
        <v>196</v>
      </c>
      <c r="B89" t="s">
        <v>658</v>
      </c>
      <c r="C89">
        <v>3</v>
      </c>
      <c r="E89" s="15" t="s">
        <v>659</v>
      </c>
      <c r="J89" s="15"/>
      <c r="L89" t="s">
        <v>717</v>
      </c>
      <c r="M89" s="15" t="s">
        <v>878</v>
      </c>
      <c r="N89">
        <v>4</v>
      </c>
    </row>
    <row r="90" spans="1:14">
      <c r="A90" t="s">
        <v>319</v>
      </c>
      <c r="B90" t="s">
        <v>658</v>
      </c>
      <c r="C90">
        <v>4</v>
      </c>
      <c r="E90" t="s">
        <v>654</v>
      </c>
      <c r="F90" t="s">
        <v>482</v>
      </c>
      <c r="G90" t="s">
        <v>724</v>
      </c>
      <c r="J90" t="s">
        <v>726</v>
      </c>
      <c r="M90" s="15" t="s">
        <v>881</v>
      </c>
      <c r="N90">
        <v>3</v>
      </c>
    </row>
    <row r="91" spans="1:14">
      <c r="A91" t="s">
        <v>492</v>
      </c>
      <c r="B91" t="s">
        <v>658</v>
      </c>
      <c r="C91">
        <v>4</v>
      </c>
      <c r="E91" t="s">
        <v>654</v>
      </c>
      <c r="F91" t="s">
        <v>674</v>
      </c>
      <c r="I91" t="s">
        <v>678</v>
      </c>
      <c r="L91" t="s">
        <v>682</v>
      </c>
      <c r="M91" s="15" t="s">
        <v>881</v>
      </c>
      <c r="N91">
        <v>3</v>
      </c>
    </row>
    <row r="92" spans="1:14">
      <c r="A92" t="s">
        <v>488</v>
      </c>
      <c r="B92" t="s">
        <v>658</v>
      </c>
      <c r="C92">
        <v>4</v>
      </c>
      <c r="E92" t="s">
        <v>654</v>
      </c>
      <c r="F92" t="s">
        <v>676</v>
      </c>
      <c r="I92" t="s">
        <v>678</v>
      </c>
      <c r="J92" t="s">
        <v>690</v>
      </c>
      <c r="M92" s="15" t="s">
        <v>886</v>
      </c>
      <c r="N92">
        <v>3</v>
      </c>
    </row>
    <row r="93" spans="1:14">
      <c r="A93" t="s">
        <v>538</v>
      </c>
      <c r="B93" t="s">
        <v>658</v>
      </c>
      <c r="C93">
        <v>4</v>
      </c>
      <c r="E93" t="s">
        <v>654</v>
      </c>
      <c r="F93" t="s">
        <v>725</v>
      </c>
      <c r="K93" t="s">
        <v>477</v>
      </c>
      <c r="M93" s="15" t="s">
        <v>879</v>
      </c>
      <c r="N93">
        <v>3</v>
      </c>
    </row>
    <row r="94" spans="1:14">
      <c r="A94" t="s">
        <v>463</v>
      </c>
      <c r="B94" t="s">
        <v>658</v>
      </c>
      <c r="C94">
        <v>4</v>
      </c>
      <c r="E94" t="s">
        <v>654</v>
      </c>
      <c r="F94" t="s">
        <v>720</v>
      </c>
      <c r="I94" t="s">
        <v>678</v>
      </c>
      <c r="L94" t="s">
        <v>717</v>
      </c>
      <c r="M94" s="15" t="s">
        <v>886</v>
      </c>
      <c r="N94">
        <v>2</v>
      </c>
    </row>
    <row r="95" spans="1:14">
      <c r="A95" t="s">
        <v>241</v>
      </c>
      <c r="B95" t="s">
        <v>658</v>
      </c>
      <c r="C95">
        <v>4</v>
      </c>
      <c r="E95" t="s">
        <v>654</v>
      </c>
      <c r="F95" t="s">
        <v>722</v>
      </c>
      <c r="G95" t="s">
        <v>648</v>
      </c>
      <c r="H95" s="15"/>
      <c r="I95" t="s">
        <v>678</v>
      </c>
      <c r="J95" t="s">
        <v>679</v>
      </c>
      <c r="M95" s="15" t="s">
        <v>886</v>
      </c>
      <c r="N95">
        <v>2</v>
      </c>
    </row>
    <row r="96" spans="1:14">
      <c r="A96" t="s">
        <v>388</v>
      </c>
      <c r="B96" t="s">
        <v>658</v>
      </c>
      <c r="C96">
        <v>4</v>
      </c>
      <c r="E96" t="s">
        <v>654</v>
      </c>
      <c r="F96" t="s">
        <v>676</v>
      </c>
      <c r="I96" t="s">
        <v>678</v>
      </c>
      <c r="J96" t="s">
        <v>727</v>
      </c>
      <c r="M96" s="15" t="s">
        <v>886</v>
      </c>
      <c r="N96">
        <v>2</v>
      </c>
    </row>
    <row r="97" spans="1:14">
      <c r="A97" t="s">
        <v>125</v>
      </c>
      <c r="B97" t="s">
        <v>658</v>
      </c>
      <c r="C97">
        <v>4</v>
      </c>
      <c r="E97" t="s">
        <v>697</v>
      </c>
      <c r="J97" t="s">
        <v>703</v>
      </c>
      <c r="M97" s="15" t="s">
        <v>901</v>
      </c>
      <c r="N97">
        <v>3</v>
      </c>
    </row>
    <row r="98" spans="1:14">
      <c r="A98" s="15" t="s">
        <v>279</v>
      </c>
      <c r="B98" t="s">
        <v>658</v>
      </c>
      <c r="C98">
        <v>4</v>
      </c>
      <c r="E98" t="s">
        <v>697</v>
      </c>
      <c r="M98" s="15" t="s">
        <v>887</v>
      </c>
      <c r="N98">
        <v>2</v>
      </c>
    </row>
    <row r="99" spans="1:14">
      <c r="A99" t="s">
        <v>254</v>
      </c>
      <c r="B99" t="s">
        <v>658</v>
      </c>
      <c r="C99">
        <v>4</v>
      </c>
      <c r="E99" t="s">
        <v>659</v>
      </c>
      <c r="J99" t="s">
        <v>703</v>
      </c>
      <c r="M99" s="15" t="s">
        <v>878</v>
      </c>
      <c r="N99">
        <v>4</v>
      </c>
    </row>
    <row r="100" spans="1:14">
      <c r="A100" t="s">
        <v>105</v>
      </c>
      <c r="B100" t="s">
        <v>658</v>
      </c>
      <c r="C100">
        <v>5</v>
      </c>
      <c r="E100" t="s">
        <v>654</v>
      </c>
      <c r="F100" t="s">
        <v>728</v>
      </c>
      <c r="I100" t="s">
        <v>678</v>
      </c>
      <c r="J100" t="s">
        <v>732</v>
      </c>
      <c r="L100" t="s">
        <v>682</v>
      </c>
      <c r="M100" s="15" t="s">
        <v>881</v>
      </c>
      <c r="N100">
        <v>4</v>
      </c>
    </row>
    <row r="101" spans="1:14">
      <c r="A101" t="s">
        <v>428</v>
      </c>
      <c r="B101" t="s">
        <v>658</v>
      </c>
      <c r="C101">
        <v>5</v>
      </c>
      <c r="E101" t="s">
        <v>654</v>
      </c>
      <c r="F101" t="s">
        <v>672</v>
      </c>
      <c r="G101" t="s">
        <v>712</v>
      </c>
      <c r="I101" t="s">
        <v>714</v>
      </c>
      <c r="J101" t="s">
        <v>733</v>
      </c>
      <c r="M101" s="15" t="s">
        <v>882</v>
      </c>
      <c r="N101">
        <v>3</v>
      </c>
    </row>
    <row r="102" spans="1:14">
      <c r="A102" s="15" t="s">
        <v>506</v>
      </c>
      <c r="B102" s="15" t="s">
        <v>658</v>
      </c>
      <c r="C102" s="15">
        <v>5</v>
      </c>
      <c r="D102" s="15"/>
      <c r="E102" s="15" t="s">
        <v>654</v>
      </c>
      <c r="F102" s="15" t="s">
        <v>720</v>
      </c>
      <c r="G102" s="15"/>
      <c r="H102" s="15"/>
      <c r="I102" s="15" t="s">
        <v>678</v>
      </c>
      <c r="J102" s="15" t="s">
        <v>679</v>
      </c>
      <c r="K102" s="15"/>
      <c r="L102" s="15"/>
      <c r="M102" s="15" t="s">
        <v>886</v>
      </c>
      <c r="N102" s="15">
        <v>3</v>
      </c>
    </row>
    <row r="103" spans="1:14">
      <c r="A103" t="s">
        <v>318</v>
      </c>
      <c r="B103" t="s">
        <v>658</v>
      </c>
      <c r="C103">
        <v>5</v>
      </c>
      <c r="E103" t="s">
        <v>654</v>
      </c>
      <c r="F103" t="s">
        <v>729</v>
      </c>
      <c r="I103" t="s">
        <v>678</v>
      </c>
      <c r="L103" t="s">
        <v>717</v>
      </c>
      <c r="M103" s="15" t="s">
        <v>890</v>
      </c>
      <c r="N103">
        <v>3</v>
      </c>
    </row>
    <row r="104" spans="1:14">
      <c r="A104" s="15" t="s">
        <v>25</v>
      </c>
      <c r="B104" s="15" t="s">
        <v>658</v>
      </c>
      <c r="C104" s="15">
        <v>5</v>
      </c>
      <c r="D104" s="15"/>
      <c r="E104" s="15" t="s">
        <v>654</v>
      </c>
      <c r="F104" s="15" t="s">
        <v>730</v>
      </c>
      <c r="G104" s="15"/>
      <c r="H104" s="15"/>
      <c r="I104" s="15" t="s">
        <v>731</v>
      </c>
      <c r="J104" s="15"/>
      <c r="K104" s="15"/>
      <c r="L104" s="15"/>
      <c r="M104" s="15" t="s">
        <v>955</v>
      </c>
      <c r="N104" s="15">
        <v>3</v>
      </c>
    </row>
    <row r="105" spans="1:14">
      <c r="A105" s="15" t="s">
        <v>106</v>
      </c>
      <c r="B105" s="15" t="s">
        <v>658</v>
      </c>
      <c r="C105" s="15">
        <v>7</v>
      </c>
      <c r="D105" s="15"/>
      <c r="E105" s="15" t="s">
        <v>654</v>
      </c>
      <c r="F105" s="15"/>
      <c r="G105" s="15" t="s">
        <v>709</v>
      </c>
      <c r="H105" s="15"/>
      <c r="I105" s="15" t="s">
        <v>678</v>
      </c>
      <c r="J105" s="15" t="s">
        <v>733</v>
      </c>
      <c r="K105" s="15"/>
      <c r="L105" s="15"/>
      <c r="M105" s="15" t="s">
        <v>886</v>
      </c>
      <c r="N105" s="15">
        <v>3</v>
      </c>
    </row>
    <row r="106" spans="1:14">
      <c r="A106" s="15" t="s">
        <v>90</v>
      </c>
      <c r="B106" s="15" t="s">
        <v>760</v>
      </c>
      <c r="C106" s="15">
        <v>0</v>
      </c>
      <c r="D106" s="15"/>
      <c r="E106" s="15" t="s">
        <v>812</v>
      </c>
      <c r="F106" s="15"/>
      <c r="G106" s="15"/>
      <c r="H106" s="15"/>
      <c r="I106" s="15"/>
      <c r="J106" s="15" t="s">
        <v>682</v>
      </c>
      <c r="K106" s="15"/>
      <c r="L106" s="15"/>
      <c r="M106" s="15" t="s">
        <v>953</v>
      </c>
      <c r="N106" s="15">
        <v>4</v>
      </c>
    </row>
    <row r="107" spans="1:14">
      <c r="A107" s="15" t="s">
        <v>94</v>
      </c>
      <c r="B107" s="15" t="s">
        <v>760</v>
      </c>
      <c r="C107" s="15">
        <v>0</v>
      </c>
      <c r="D107" s="15"/>
      <c r="E107" s="15" t="s">
        <v>812</v>
      </c>
      <c r="F107" s="15"/>
      <c r="G107" s="15"/>
      <c r="H107" s="15"/>
      <c r="I107" s="15"/>
      <c r="J107" s="15" t="s">
        <v>682</v>
      </c>
      <c r="K107" s="15"/>
      <c r="L107" s="15"/>
      <c r="M107" s="15" t="s">
        <v>953</v>
      </c>
      <c r="N107" s="15">
        <v>4</v>
      </c>
    </row>
    <row r="108" spans="1:14">
      <c r="A108" s="15" t="s">
        <v>140</v>
      </c>
      <c r="B108" s="15" t="s">
        <v>760</v>
      </c>
      <c r="C108" s="15">
        <v>0</v>
      </c>
      <c r="D108" s="15"/>
      <c r="E108" s="15" t="s">
        <v>812</v>
      </c>
      <c r="F108" s="15"/>
      <c r="G108" s="15"/>
      <c r="H108" s="15"/>
      <c r="I108" s="15"/>
      <c r="J108" s="15"/>
      <c r="K108" s="15"/>
      <c r="L108" s="15"/>
      <c r="M108" s="15" t="s">
        <v>953</v>
      </c>
      <c r="N108" s="15">
        <v>4</v>
      </c>
    </row>
    <row r="109" spans="1:14">
      <c r="A109" s="15" t="s">
        <v>148</v>
      </c>
      <c r="B109" s="15" t="s">
        <v>760</v>
      </c>
      <c r="C109" s="15">
        <v>0</v>
      </c>
      <c r="D109" s="15"/>
      <c r="E109" s="15" t="s">
        <v>812</v>
      </c>
      <c r="F109" s="15"/>
      <c r="G109" s="15"/>
      <c r="H109" s="15"/>
      <c r="I109" s="15"/>
      <c r="J109" s="15"/>
      <c r="K109" s="15"/>
      <c r="L109" s="15"/>
      <c r="M109" s="15" t="s">
        <v>953</v>
      </c>
      <c r="N109" s="15">
        <v>4</v>
      </c>
    </row>
    <row r="110" spans="1:14">
      <c r="A110" s="15" t="s">
        <v>141</v>
      </c>
      <c r="B110" s="15" t="s">
        <v>760</v>
      </c>
      <c r="C110" s="15">
        <v>0</v>
      </c>
      <c r="D110" s="15"/>
      <c r="E110" s="15" t="s">
        <v>812</v>
      </c>
      <c r="F110" s="15"/>
      <c r="G110" s="15"/>
      <c r="H110" s="15"/>
      <c r="I110" s="15"/>
      <c r="J110" s="15"/>
      <c r="K110" s="15"/>
      <c r="L110" s="15"/>
      <c r="M110" s="15" t="s">
        <v>953</v>
      </c>
      <c r="N110" s="15">
        <v>4</v>
      </c>
    </row>
    <row r="111" spans="1:14">
      <c r="A111" s="15" t="s">
        <v>146</v>
      </c>
      <c r="B111" s="15" t="s">
        <v>760</v>
      </c>
      <c r="C111" s="15">
        <v>0</v>
      </c>
      <c r="D111" s="15"/>
      <c r="E111" s="15" t="s">
        <v>812</v>
      </c>
      <c r="F111" s="15"/>
      <c r="G111" s="15"/>
      <c r="H111" s="15"/>
      <c r="I111" s="15"/>
      <c r="J111" s="15"/>
      <c r="K111" s="15"/>
      <c r="L111" s="15"/>
      <c r="M111" s="15" t="s">
        <v>953</v>
      </c>
      <c r="N111" s="15">
        <v>4</v>
      </c>
    </row>
    <row r="112" spans="1:14">
      <c r="A112" s="15" t="s">
        <v>143</v>
      </c>
      <c r="B112" s="15" t="s">
        <v>760</v>
      </c>
      <c r="C112" s="15">
        <v>0</v>
      </c>
      <c r="D112" s="15"/>
      <c r="E112" s="15" t="s">
        <v>812</v>
      </c>
      <c r="F112" s="15"/>
      <c r="G112" s="15"/>
      <c r="H112" s="15"/>
      <c r="I112" s="15"/>
      <c r="J112" s="15"/>
      <c r="K112" s="15"/>
      <c r="L112" s="15"/>
      <c r="M112" s="15" t="s">
        <v>953</v>
      </c>
      <c r="N112" s="15">
        <v>4</v>
      </c>
    </row>
    <row r="113" spans="1:14">
      <c r="A113" s="15" t="s">
        <v>147</v>
      </c>
      <c r="B113" s="15" t="s">
        <v>760</v>
      </c>
      <c r="C113" s="15">
        <v>0</v>
      </c>
      <c r="D113" s="15"/>
      <c r="E113" s="15" t="s">
        <v>812</v>
      </c>
      <c r="F113" s="15"/>
      <c r="G113" s="15"/>
      <c r="H113" s="15"/>
      <c r="I113" s="15"/>
      <c r="J113" s="15"/>
      <c r="K113" s="15"/>
      <c r="L113" s="15"/>
      <c r="M113" s="15" t="s">
        <v>953</v>
      </c>
      <c r="N113" s="15">
        <v>4</v>
      </c>
    </row>
    <row r="114" spans="1:14">
      <c r="A114" t="s">
        <v>145</v>
      </c>
      <c r="B114" t="s">
        <v>760</v>
      </c>
      <c r="C114">
        <v>0</v>
      </c>
      <c r="E114" t="s">
        <v>812</v>
      </c>
      <c r="M114" s="15" t="s">
        <v>953</v>
      </c>
      <c r="N114">
        <v>4</v>
      </c>
    </row>
    <row r="115" spans="1:14">
      <c r="A115" t="s">
        <v>142</v>
      </c>
      <c r="B115" t="s">
        <v>760</v>
      </c>
      <c r="C115">
        <v>0</v>
      </c>
      <c r="E115" t="s">
        <v>812</v>
      </c>
      <c r="M115" s="15" t="s">
        <v>953</v>
      </c>
      <c r="N115">
        <v>4</v>
      </c>
    </row>
    <row r="116" spans="1:14">
      <c r="A116" s="15" t="s">
        <v>424</v>
      </c>
      <c r="B116" s="15" t="s">
        <v>760</v>
      </c>
      <c r="C116" s="15">
        <v>0</v>
      </c>
      <c r="D116" s="15"/>
      <c r="E116" s="15" t="s">
        <v>812</v>
      </c>
      <c r="F116" s="15"/>
      <c r="G116" s="15"/>
      <c r="H116" s="15"/>
      <c r="I116" s="15"/>
      <c r="J116" s="15"/>
      <c r="K116" s="15"/>
      <c r="L116" s="15"/>
      <c r="M116" s="15" t="s">
        <v>953</v>
      </c>
      <c r="N116" s="15">
        <v>4</v>
      </c>
    </row>
    <row r="117" spans="1:14">
      <c r="A117" t="s">
        <v>144</v>
      </c>
      <c r="B117" t="s">
        <v>760</v>
      </c>
      <c r="C117">
        <v>0</v>
      </c>
      <c r="E117" t="s">
        <v>812</v>
      </c>
      <c r="M117" s="15" t="s">
        <v>953</v>
      </c>
      <c r="N117">
        <v>4</v>
      </c>
    </row>
    <row r="118" spans="1:14">
      <c r="A118" s="15" t="s">
        <v>149</v>
      </c>
      <c r="B118" s="15" t="s">
        <v>760</v>
      </c>
      <c r="C118" s="15">
        <v>0</v>
      </c>
      <c r="D118" s="15"/>
      <c r="E118" s="15" t="s">
        <v>812</v>
      </c>
      <c r="F118" s="15"/>
      <c r="G118" s="15"/>
      <c r="H118" s="15"/>
      <c r="I118" s="15"/>
      <c r="J118" s="15"/>
      <c r="K118" s="15"/>
      <c r="L118" s="15"/>
      <c r="M118" s="15" t="s">
        <v>953</v>
      </c>
      <c r="N118" s="15">
        <v>4</v>
      </c>
    </row>
    <row r="119" spans="1:14">
      <c r="A119" s="15" t="s">
        <v>813</v>
      </c>
      <c r="B119" s="15" t="s">
        <v>760</v>
      </c>
      <c r="C119" s="15">
        <v>0</v>
      </c>
      <c r="D119" s="15"/>
      <c r="E119" s="15" t="s">
        <v>812</v>
      </c>
      <c r="F119" s="15"/>
      <c r="G119" s="15"/>
      <c r="H119" s="15"/>
      <c r="I119" s="15"/>
      <c r="J119" s="15" t="s">
        <v>682</v>
      </c>
      <c r="K119" s="15"/>
      <c r="L119" s="15"/>
      <c r="M119" s="15" t="s">
        <v>953</v>
      </c>
      <c r="N119" s="15">
        <v>3</v>
      </c>
    </row>
    <row r="120" spans="1:14">
      <c r="A120" t="s">
        <v>541</v>
      </c>
      <c r="B120" t="s">
        <v>760</v>
      </c>
      <c r="C120">
        <v>0</v>
      </c>
      <c r="E120" t="s">
        <v>812</v>
      </c>
      <c r="J120" t="s">
        <v>682</v>
      </c>
      <c r="M120" s="15" t="s">
        <v>953</v>
      </c>
      <c r="N120">
        <v>3</v>
      </c>
    </row>
    <row r="121" spans="1:14">
      <c r="A121" t="s">
        <v>542</v>
      </c>
      <c r="B121" t="s">
        <v>760</v>
      </c>
      <c r="C121">
        <v>0</v>
      </c>
      <c r="E121" t="s">
        <v>812</v>
      </c>
      <c r="J121" t="s">
        <v>682</v>
      </c>
      <c r="M121" s="15" t="s">
        <v>953</v>
      </c>
      <c r="N121">
        <v>3</v>
      </c>
    </row>
    <row r="122" spans="1:14">
      <c r="A122" s="15" t="s">
        <v>543</v>
      </c>
      <c r="B122" s="15" t="s">
        <v>760</v>
      </c>
      <c r="C122" s="15">
        <v>0</v>
      </c>
      <c r="D122" s="15"/>
      <c r="E122" s="15" t="s">
        <v>812</v>
      </c>
      <c r="F122" s="15"/>
      <c r="G122" s="15"/>
      <c r="H122" s="15"/>
      <c r="I122" s="15"/>
      <c r="J122" s="15" t="s">
        <v>682</v>
      </c>
      <c r="K122" s="15"/>
      <c r="L122" s="15"/>
      <c r="M122" s="15" t="s">
        <v>953</v>
      </c>
      <c r="N122" s="15">
        <v>3</v>
      </c>
    </row>
    <row r="123" spans="1:14">
      <c r="A123" s="15" t="s">
        <v>544</v>
      </c>
      <c r="B123" s="15" t="s">
        <v>760</v>
      </c>
      <c r="C123" s="15">
        <v>0</v>
      </c>
      <c r="D123" s="15"/>
      <c r="E123" s="15" t="s">
        <v>812</v>
      </c>
      <c r="F123" s="15"/>
      <c r="G123" s="15"/>
      <c r="H123" s="15"/>
      <c r="I123" s="15"/>
      <c r="J123" s="15" t="s">
        <v>682</v>
      </c>
      <c r="K123" s="15"/>
      <c r="L123" s="15"/>
      <c r="M123" s="15" t="s">
        <v>953</v>
      </c>
      <c r="N123" s="15">
        <v>3</v>
      </c>
    </row>
    <row r="124" spans="1:14">
      <c r="A124" t="s">
        <v>93</v>
      </c>
      <c r="B124" t="s">
        <v>760</v>
      </c>
      <c r="C124">
        <v>0</v>
      </c>
      <c r="E124" t="s">
        <v>812</v>
      </c>
      <c r="M124" s="15" t="s">
        <v>949</v>
      </c>
      <c r="N124">
        <v>3</v>
      </c>
    </row>
    <row r="125" spans="1:14">
      <c r="A125" s="15" t="s">
        <v>261</v>
      </c>
      <c r="B125" s="15" t="s">
        <v>760</v>
      </c>
      <c r="C125" s="15">
        <v>0</v>
      </c>
      <c r="D125" s="15"/>
      <c r="E125" s="15" t="s">
        <v>812</v>
      </c>
      <c r="F125" s="15"/>
      <c r="G125" s="15"/>
      <c r="H125" s="15"/>
      <c r="I125" s="15" t="s">
        <v>704</v>
      </c>
      <c r="J125" s="15"/>
      <c r="K125" s="15"/>
      <c r="L125" s="15"/>
      <c r="M125" s="15" t="s">
        <v>889</v>
      </c>
      <c r="N125" s="15">
        <v>3</v>
      </c>
    </row>
    <row r="126" spans="1:14">
      <c r="A126" s="15" t="s">
        <v>459</v>
      </c>
      <c r="B126" s="15" t="s">
        <v>760</v>
      </c>
      <c r="C126" s="15">
        <v>0</v>
      </c>
      <c r="D126" s="15"/>
      <c r="E126" s="15" t="s">
        <v>812</v>
      </c>
      <c r="F126" s="15"/>
      <c r="G126" s="15"/>
      <c r="H126" s="15"/>
      <c r="I126" s="15" t="s">
        <v>704</v>
      </c>
      <c r="J126" s="15"/>
      <c r="K126" s="15"/>
      <c r="L126" s="15"/>
      <c r="M126" s="15" t="s">
        <v>889</v>
      </c>
      <c r="N126" s="15">
        <v>3</v>
      </c>
    </row>
    <row r="127" spans="1:14">
      <c r="A127" s="15" t="s">
        <v>914</v>
      </c>
      <c r="B127" s="15" t="s">
        <v>760</v>
      </c>
      <c r="C127" s="15">
        <v>0</v>
      </c>
      <c r="D127" s="15"/>
      <c r="E127" s="15" t="s">
        <v>812</v>
      </c>
      <c r="F127" s="15"/>
      <c r="G127" s="15"/>
      <c r="H127" s="15"/>
      <c r="I127" s="15" t="s">
        <v>704</v>
      </c>
      <c r="J127" s="15"/>
      <c r="K127" s="15"/>
      <c r="L127" s="15"/>
      <c r="M127" s="15" t="s">
        <v>889</v>
      </c>
      <c r="N127" s="15">
        <v>3</v>
      </c>
    </row>
    <row r="128" spans="1:14">
      <c r="A128" s="15" t="s">
        <v>263</v>
      </c>
      <c r="B128" s="15" t="s">
        <v>760</v>
      </c>
      <c r="C128" s="15">
        <v>0</v>
      </c>
      <c r="D128" s="15"/>
      <c r="E128" s="15" t="s">
        <v>812</v>
      </c>
      <c r="F128" s="15"/>
      <c r="G128" s="15"/>
      <c r="H128" s="15"/>
      <c r="I128" s="15" t="s">
        <v>704</v>
      </c>
      <c r="J128" s="15"/>
      <c r="K128" s="15"/>
      <c r="L128" s="15"/>
      <c r="M128" s="15" t="s">
        <v>889</v>
      </c>
      <c r="N128" s="15">
        <v>3</v>
      </c>
    </row>
    <row r="129" spans="1:14">
      <c r="A129" s="20" t="s">
        <v>925</v>
      </c>
      <c r="B129" s="20" t="s">
        <v>760</v>
      </c>
      <c r="C129" s="20">
        <v>0</v>
      </c>
      <c r="D129" s="20"/>
      <c r="E129" s="20" t="s">
        <v>812</v>
      </c>
      <c r="F129" s="20"/>
      <c r="G129" s="20"/>
      <c r="H129" s="20"/>
      <c r="I129" s="20"/>
      <c r="J129" s="20"/>
      <c r="K129" s="20"/>
      <c r="L129" s="20"/>
      <c r="M129" s="20" t="s">
        <v>953</v>
      </c>
      <c r="N129" s="20">
        <v>2</v>
      </c>
    </row>
    <row r="130" spans="1:14">
      <c r="A130" s="15" t="s">
        <v>550</v>
      </c>
      <c r="B130" s="15" t="s">
        <v>760</v>
      </c>
      <c r="C130" s="15">
        <v>0</v>
      </c>
      <c r="D130" s="15"/>
      <c r="E130" s="15" t="s">
        <v>812</v>
      </c>
      <c r="F130" s="15"/>
      <c r="G130" s="15"/>
      <c r="H130" s="15"/>
      <c r="I130" s="15" t="s">
        <v>477</v>
      </c>
      <c r="J130" s="15" t="s">
        <v>682</v>
      </c>
      <c r="K130" s="15"/>
      <c r="L130" s="15"/>
      <c r="M130" s="15" t="s">
        <v>903</v>
      </c>
      <c r="N130" s="15">
        <v>2</v>
      </c>
    </row>
    <row r="131" spans="1:14">
      <c r="A131" s="15" t="s">
        <v>153</v>
      </c>
      <c r="B131" s="15" t="s">
        <v>760</v>
      </c>
      <c r="C131" s="15">
        <v>1</v>
      </c>
      <c r="D131" s="15" t="s">
        <v>660</v>
      </c>
      <c r="E131" s="15" t="s">
        <v>810</v>
      </c>
      <c r="F131" s="15"/>
      <c r="G131" s="15"/>
      <c r="H131" s="15"/>
      <c r="I131" s="15"/>
      <c r="J131" s="15"/>
      <c r="K131" s="15"/>
      <c r="L131" s="15"/>
      <c r="M131" s="15" t="s">
        <v>894</v>
      </c>
      <c r="N131" s="15">
        <v>4</v>
      </c>
    </row>
    <row r="132" spans="1:14">
      <c r="A132" t="s">
        <v>376</v>
      </c>
      <c r="B132" t="s">
        <v>760</v>
      </c>
      <c r="C132">
        <v>1</v>
      </c>
      <c r="D132" t="s">
        <v>660</v>
      </c>
      <c r="E132" t="s">
        <v>810</v>
      </c>
      <c r="M132" s="15" t="s">
        <v>893</v>
      </c>
      <c r="N132">
        <v>3</v>
      </c>
    </row>
    <row r="133" spans="1:14">
      <c r="A133" s="20" t="s">
        <v>632</v>
      </c>
      <c r="B133" s="20" t="s">
        <v>760</v>
      </c>
      <c r="C133" s="20">
        <v>1</v>
      </c>
      <c r="D133" s="20" t="s">
        <v>660</v>
      </c>
      <c r="E133" s="20" t="s">
        <v>810</v>
      </c>
      <c r="F133" s="20"/>
      <c r="G133" s="20"/>
      <c r="H133" s="20"/>
      <c r="I133" s="20"/>
      <c r="J133" s="20"/>
      <c r="K133" s="20"/>
      <c r="L133" s="20" t="s">
        <v>682</v>
      </c>
      <c r="M133" s="20" t="s">
        <v>898</v>
      </c>
      <c r="N133" s="20">
        <v>2</v>
      </c>
    </row>
    <row r="134" spans="1:14">
      <c r="A134" t="s">
        <v>460</v>
      </c>
      <c r="B134" t="s">
        <v>760</v>
      </c>
      <c r="C134">
        <v>1</v>
      </c>
      <c r="D134" t="s">
        <v>660</v>
      </c>
      <c r="E134" t="s">
        <v>810</v>
      </c>
      <c r="I134" t="s">
        <v>844</v>
      </c>
      <c r="M134" s="15" t="s">
        <v>889</v>
      </c>
      <c r="N134">
        <v>2</v>
      </c>
    </row>
    <row r="135" spans="1:14">
      <c r="A135" s="15" t="s">
        <v>343</v>
      </c>
      <c r="B135" s="15" t="s">
        <v>760</v>
      </c>
      <c r="C135" s="15">
        <v>1</v>
      </c>
      <c r="D135" s="15" t="s">
        <v>660</v>
      </c>
      <c r="E135" s="15"/>
      <c r="F135" s="15"/>
      <c r="G135" s="15"/>
      <c r="H135" s="15"/>
      <c r="I135" s="15"/>
      <c r="J135" s="15"/>
      <c r="K135" s="15"/>
      <c r="L135" s="15" t="s">
        <v>682</v>
      </c>
      <c r="M135" s="15" t="s">
        <v>882</v>
      </c>
      <c r="N135" s="15">
        <v>4</v>
      </c>
    </row>
    <row r="136" spans="1:14">
      <c r="A136" s="15" t="s">
        <v>164</v>
      </c>
      <c r="B136" s="15" t="s">
        <v>760</v>
      </c>
      <c r="C136" s="15">
        <v>1</v>
      </c>
      <c r="D136" s="15" t="s">
        <v>660</v>
      </c>
      <c r="E136" s="15"/>
      <c r="F136" s="15"/>
      <c r="G136" s="15"/>
      <c r="H136" s="15"/>
      <c r="I136" s="15"/>
      <c r="J136" s="15"/>
      <c r="K136" s="15"/>
      <c r="L136" s="15" t="s">
        <v>682</v>
      </c>
      <c r="M136" s="15" t="s">
        <v>902</v>
      </c>
      <c r="N136" s="15">
        <v>4</v>
      </c>
    </row>
    <row r="137" spans="1:14">
      <c r="A137" s="15" t="s">
        <v>152</v>
      </c>
      <c r="B137" s="15" t="s">
        <v>760</v>
      </c>
      <c r="C137" s="15">
        <v>1</v>
      </c>
      <c r="D137" s="15" t="s">
        <v>660</v>
      </c>
      <c r="E137" s="15"/>
      <c r="F137" s="15"/>
      <c r="G137" s="15"/>
      <c r="H137" s="15"/>
      <c r="I137" s="15"/>
      <c r="J137" s="15"/>
      <c r="K137" s="15" t="s">
        <v>477</v>
      </c>
      <c r="L137" s="15" t="s">
        <v>682</v>
      </c>
      <c r="M137" s="15" t="s">
        <v>477</v>
      </c>
      <c r="N137" s="15">
        <v>4</v>
      </c>
    </row>
    <row r="138" spans="1:14">
      <c r="A138" s="15" t="s">
        <v>151</v>
      </c>
      <c r="B138" s="15" t="s">
        <v>760</v>
      </c>
      <c r="C138" s="15">
        <v>1</v>
      </c>
      <c r="D138" s="15" t="s">
        <v>660</v>
      </c>
      <c r="E138" s="15"/>
      <c r="F138" s="15"/>
      <c r="G138" s="15"/>
      <c r="H138" s="15"/>
      <c r="I138" s="15"/>
      <c r="J138" s="15"/>
      <c r="K138" s="15"/>
      <c r="L138" s="15" t="s">
        <v>682</v>
      </c>
      <c r="M138" s="15" t="s">
        <v>888</v>
      </c>
      <c r="N138" s="15">
        <v>3</v>
      </c>
    </row>
    <row r="139" spans="1:14">
      <c r="A139" t="s">
        <v>332</v>
      </c>
      <c r="B139" t="s">
        <v>760</v>
      </c>
      <c r="C139">
        <v>1</v>
      </c>
      <c r="D139" t="s">
        <v>660</v>
      </c>
      <c r="L139" t="s">
        <v>682</v>
      </c>
      <c r="M139" t="s">
        <v>876</v>
      </c>
      <c r="N139">
        <v>3</v>
      </c>
    </row>
    <row r="140" spans="1:14">
      <c r="A140" t="s">
        <v>921</v>
      </c>
      <c r="B140" t="s">
        <v>760</v>
      </c>
      <c r="C140">
        <v>1</v>
      </c>
      <c r="D140" t="s">
        <v>660</v>
      </c>
      <c r="L140" t="s">
        <v>682</v>
      </c>
      <c r="M140" s="15" t="s">
        <v>876</v>
      </c>
      <c r="N140">
        <v>2</v>
      </c>
    </row>
    <row r="141" spans="1:14">
      <c r="A141" t="s">
        <v>553</v>
      </c>
      <c r="B141" t="s">
        <v>760</v>
      </c>
      <c r="C141">
        <v>2</v>
      </c>
      <c r="D141" t="s">
        <v>660</v>
      </c>
      <c r="E141" t="s">
        <v>654</v>
      </c>
      <c r="F141" t="s">
        <v>762</v>
      </c>
      <c r="M141" s="15" t="s">
        <v>882</v>
      </c>
      <c r="N141">
        <v>3</v>
      </c>
    </row>
    <row r="142" spans="1:14">
      <c r="A142" s="15" t="s">
        <v>344</v>
      </c>
      <c r="B142" s="15" t="s">
        <v>760</v>
      </c>
      <c r="C142" s="15">
        <v>2</v>
      </c>
      <c r="D142" s="15" t="s">
        <v>660</v>
      </c>
      <c r="E142" s="15" t="s">
        <v>654</v>
      </c>
      <c r="F142" s="15" t="s">
        <v>808</v>
      </c>
      <c r="G142" s="15"/>
      <c r="H142" s="15"/>
      <c r="I142" s="15"/>
      <c r="J142" s="15"/>
      <c r="K142" s="15"/>
      <c r="L142" s="15"/>
      <c r="M142" s="15" t="s">
        <v>879</v>
      </c>
      <c r="N142" s="15">
        <v>2</v>
      </c>
    </row>
    <row r="143" spans="1:14">
      <c r="A143" s="15" t="s">
        <v>806</v>
      </c>
      <c r="B143" s="15" t="s">
        <v>760</v>
      </c>
      <c r="C143" s="15">
        <v>2</v>
      </c>
      <c r="D143" s="15" t="s">
        <v>660</v>
      </c>
      <c r="E143" s="15" t="s">
        <v>810</v>
      </c>
      <c r="F143" s="15"/>
      <c r="G143" s="15"/>
      <c r="H143" s="15"/>
      <c r="I143" s="15"/>
      <c r="J143" s="15"/>
      <c r="K143" s="15"/>
      <c r="L143" s="15"/>
      <c r="M143" s="15" t="s">
        <v>894</v>
      </c>
      <c r="N143" s="15">
        <v>3</v>
      </c>
    </row>
    <row r="144" spans="1:14">
      <c r="A144" s="15" t="s">
        <v>807</v>
      </c>
      <c r="B144" s="15" t="s">
        <v>760</v>
      </c>
      <c r="C144" s="15">
        <v>2</v>
      </c>
      <c r="D144" s="15" t="s">
        <v>660</v>
      </c>
      <c r="E144" s="15"/>
      <c r="F144" s="15"/>
      <c r="G144" s="15"/>
      <c r="H144" s="15"/>
      <c r="I144" s="15"/>
      <c r="J144" s="15"/>
      <c r="K144" s="15"/>
      <c r="L144" s="15" t="s">
        <v>682</v>
      </c>
      <c r="M144" s="15" t="s">
        <v>876</v>
      </c>
      <c r="N144" s="15">
        <v>4</v>
      </c>
    </row>
    <row r="145" spans="1:14">
      <c r="A145" s="15" t="s">
        <v>540</v>
      </c>
      <c r="B145" s="15" t="s">
        <v>760</v>
      </c>
      <c r="C145" s="15">
        <v>2</v>
      </c>
      <c r="D145" s="15" t="s">
        <v>660</v>
      </c>
      <c r="E145" s="15"/>
      <c r="F145" s="15"/>
      <c r="G145" s="15"/>
      <c r="H145" s="15"/>
      <c r="I145" s="15"/>
      <c r="J145" s="15"/>
      <c r="K145" s="15"/>
      <c r="L145" s="15" t="s">
        <v>682</v>
      </c>
      <c r="M145" s="15" t="s">
        <v>902</v>
      </c>
      <c r="N145" s="15">
        <v>4</v>
      </c>
    </row>
    <row r="146" spans="1:14">
      <c r="A146" s="15" t="s">
        <v>911</v>
      </c>
      <c r="B146" s="15" t="s">
        <v>760</v>
      </c>
      <c r="C146" s="15">
        <v>2</v>
      </c>
      <c r="D146" s="15" t="s">
        <v>660</v>
      </c>
      <c r="E146" s="15"/>
      <c r="F146" s="15"/>
      <c r="G146" s="15"/>
      <c r="H146" s="15"/>
      <c r="I146" s="15"/>
      <c r="J146" s="15"/>
      <c r="K146" s="15"/>
      <c r="L146" s="15"/>
      <c r="M146" s="15" t="s">
        <v>902</v>
      </c>
      <c r="N146" s="15">
        <v>4</v>
      </c>
    </row>
    <row r="147" spans="1:14">
      <c r="A147" s="20" t="s">
        <v>912</v>
      </c>
      <c r="B147" s="20" t="s">
        <v>760</v>
      </c>
      <c r="C147" s="20">
        <v>2</v>
      </c>
      <c r="D147" s="20" t="s">
        <v>660</v>
      </c>
      <c r="E147" s="20"/>
      <c r="F147" s="20"/>
      <c r="G147" s="20"/>
      <c r="H147" s="20"/>
      <c r="I147" s="20"/>
      <c r="J147" s="20"/>
      <c r="K147" s="20"/>
      <c r="L147" s="20"/>
      <c r="M147" s="20" t="s">
        <v>902</v>
      </c>
      <c r="N147" s="20">
        <v>4</v>
      </c>
    </row>
    <row r="148" spans="1:14">
      <c r="A148" s="20" t="s">
        <v>913</v>
      </c>
      <c r="B148" s="20" t="s">
        <v>760</v>
      </c>
      <c r="C148" s="20">
        <v>2</v>
      </c>
      <c r="D148" s="20" t="s">
        <v>660</v>
      </c>
      <c r="E148" s="20"/>
      <c r="F148" s="20"/>
      <c r="G148" s="20"/>
      <c r="H148" s="20"/>
      <c r="I148" s="20"/>
      <c r="J148" s="20"/>
      <c r="K148" s="20"/>
      <c r="L148" s="20"/>
      <c r="M148" s="20" t="s">
        <v>902</v>
      </c>
      <c r="N148" s="20">
        <v>4</v>
      </c>
    </row>
    <row r="149" spans="1:14">
      <c r="A149" s="15" t="s">
        <v>92</v>
      </c>
      <c r="B149" s="15" t="s">
        <v>760</v>
      </c>
      <c r="C149" s="15">
        <v>2</v>
      </c>
      <c r="D149" s="15" t="s">
        <v>660</v>
      </c>
      <c r="E149" s="15"/>
      <c r="F149" s="15"/>
      <c r="G149" s="15"/>
      <c r="H149" s="15"/>
      <c r="I149" s="15"/>
      <c r="J149" s="15"/>
      <c r="K149" s="15"/>
      <c r="L149" s="15"/>
      <c r="M149" s="15" t="s">
        <v>876</v>
      </c>
      <c r="N149" s="15">
        <v>3</v>
      </c>
    </row>
    <row r="150" spans="1:14">
      <c r="A150" s="15" t="s">
        <v>136</v>
      </c>
      <c r="B150" s="15" t="s">
        <v>760</v>
      </c>
      <c r="C150" s="15">
        <v>2</v>
      </c>
      <c r="D150" s="15" t="s">
        <v>660</v>
      </c>
      <c r="E150" s="15"/>
      <c r="F150" s="15"/>
      <c r="G150" s="15"/>
      <c r="H150" s="15"/>
      <c r="I150" s="15"/>
      <c r="J150" s="15"/>
      <c r="K150" s="15"/>
      <c r="L150" s="15"/>
      <c r="M150" s="15" t="s">
        <v>902</v>
      </c>
      <c r="N150" s="15">
        <v>3</v>
      </c>
    </row>
    <row r="151" spans="1:14">
      <c r="A151" s="15" t="s">
        <v>517</v>
      </c>
      <c r="B151" s="15" t="s">
        <v>760</v>
      </c>
      <c r="C151" s="15">
        <v>2</v>
      </c>
      <c r="D151" s="15" t="s">
        <v>660</v>
      </c>
      <c r="E151" s="15"/>
      <c r="F151" s="15"/>
      <c r="G151" s="15"/>
      <c r="H151" s="15"/>
      <c r="I151" s="15"/>
      <c r="J151" s="15"/>
      <c r="K151" s="15"/>
      <c r="L151" s="15"/>
      <c r="M151" s="15" t="s">
        <v>891</v>
      </c>
      <c r="N151" s="15">
        <v>2</v>
      </c>
    </row>
    <row r="152" spans="1:14">
      <c r="A152" s="15" t="s">
        <v>581</v>
      </c>
      <c r="B152" s="15" t="s">
        <v>760</v>
      </c>
      <c r="C152" s="15">
        <v>2</v>
      </c>
      <c r="D152" s="15" t="s">
        <v>660</v>
      </c>
      <c r="E152" s="15"/>
      <c r="F152" s="15"/>
      <c r="G152" s="15"/>
      <c r="H152" s="15"/>
      <c r="I152" s="15"/>
      <c r="J152" s="15"/>
      <c r="K152" s="15"/>
      <c r="L152" s="15"/>
      <c r="M152" s="15" t="s">
        <v>876</v>
      </c>
      <c r="N152" s="15">
        <v>2</v>
      </c>
    </row>
    <row r="153" spans="1:14">
      <c r="A153" s="15" t="s">
        <v>440</v>
      </c>
      <c r="B153" s="15" t="s">
        <v>760</v>
      </c>
      <c r="C153" s="15">
        <v>3</v>
      </c>
      <c r="D153" s="15" t="s">
        <v>660</v>
      </c>
      <c r="E153" s="15" t="s">
        <v>654</v>
      </c>
      <c r="F153" s="15"/>
      <c r="G153" s="15" t="s">
        <v>736</v>
      </c>
      <c r="H153" s="15"/>
      <c r="I153" s="15"/>
      <c r="J153" s="15"/>
      <c r="K153" s="15"/>
      <c r="L153" s="15" t="s">
        <v>682</v>
      </c>
      <c r="M153" s="15" t="s">
        <v>881</v>
      </c>
      <c r="N153" s="15">
        <v>4</v>
      </c>
    </row>
    <row r="154" spans="1:14">
      <c r="A154" s="15" t="s">
        <v>374</v>
      </c>
      <c r="B154" s="15" t="s">
        <v>760</v>
      </c>
      <c r="C154" s="15">
        <v>3</v>
      </c>
      <c r="D154" s="15" t="s">
        <v>660</v>
      </c>
      <c r="E154" s="15" t="s">
        <v>654</v>
      </c>
      <c r="F154" s="15"/>
      <c r="G154" s="15" t="s">
        <v>809</v>
      </c>
      <c r="H154" s="15"/>
      <c r="I154" s="15"/>
      <c r="J154" s="15"/>
      <c r="K154" s="15"/>
      <c r="L154" s="15" t="s">
        <v>682</v>
      </c>
      <c r="M154" s="15" t="s">
        <v>899</v>
      </c>
      <c r="N154" s="15">
        <v>4</v>
      </c>
    </row>
    <row r="155" spans="1:14">
      <c r="A155" s="15" t="s">
        <v>441</v>
      </c>
      <c r="B155" s="15" t="s">
        <v>760</v>
      </c>
      <c r="C155" s="15">
        <v>3</v>
      </c>
      <c r="D155" s="15" t="s">
        <v>660</v>
      </c>
      <c r="E155" s="15" t="s">
        <v>654</v>
      </c>
      <c r="F155" s="15"/>
      <c r="G155" s="15" t="s">
        <v>747</v>
      </c>
      <c r="H155" s="15"/>
      <c r="I155" s="15"/>
      <c r="J155" s="15"/>
      <c r="K155" s="15"/>
      <c r="L155" s="15" t="s">
        <v>682</v>
      </c>
      <c r="M155" s="15" t="s">
        <v>892</v>
      </c>
      <c r="N155" s="15">
        <v>3</v>
      </c>
    </row>
    <row r="156" spans="1:14">
      <c r="A156" s="15" t="s">
        <v>91</v>
      </c>
      <c r="B156" s="15" t="s">
        <v>760</v>
      </c>
      <c r="C156" s="15">
        <v>3</v>
      </c>
      <c r="D156" s="15" t="s">
        <v>660</v>
      </c>
      <c r="E156" s="15" t="s">
        <v>654</v>
      </c>
      <c r="F156" s="15" t="s">
        <v>721</v>
      </c>
      <c r="G156" s="15"/>
      <c r="H156" s="15"/>
      <c r="I156" s="15"/>
      <c r="J156" s="15"/>
      <c r="K156" s="15"/>
      <c r="L156" s="15"/>
      <c r="M156" s="15" t="s">
        <v>876</v>
      </c>
      <c r="N156" s="15">
        <v>3</v>
      </c>
    </row>
    <row r="157" spans="1:14">
      <c r="A157" s="15" t="s">
        <v>508</v>
      </c>
      <c r="B157" s="15" t="s">
        <v>760</v>
      </c>
      <c r="C157" s="15">
        <v>3</v>
      </c>
      <c r="D157" s="15" t="s">
        <v>660</v>
      </c>
      <c r="E157" s="15" t="s">
        <v>654</v>
      </c>
      <c r="F157" s="15"/>
      <c r="G157" s="15" t="s">
        <v>684</v>
      </c>
      <c r="H157" s="15"/>
      <c r="I157" s="15"/>
      <c r="J157" s="15"/>
      <c r="K157" s="15"/>
      <c r="L157" s="15" t="s">
        <v>682</v>
      </c>
      <c r="M157" s="15" t="s">
        <v>950</v>
      </c>
      <c r="N157" s="15">
        <v>2</v>
      </c>
    </row>
    <row r="158" spans="1:14">
      <c r="A158" s="15" t="s">
        <v>335</v>
      </c>
      <c r="B158" s="15" t="s">
        <v>760</v>
      </c>
      <c r="C158" s="15">
        <v>3</v>
      </c>
      <c r="D158" s="15" t="s">
        <v>660</v>
      </c>
      <c r="E158" s="15" t="s">
        <v>810</v>
      </c>
      <c r="F158" s="15"/>
      <c r="G158" s="15"/>
      <c r="H158" s="15"/>
      <c r="I158" s="15"/>
      <c r="J158" s="15"/>
      <c r="K158" s="15"/>
      <c r="L158" s="15"/>
      <c r="M158" s="15" t="s">
        <v>810</v>
      </c>
      <c r="N158" s="15">
        <v>2</v>
      </c>
    </row>
    <row r="159" spans="1:14">
      <c r="A159" t="s">
        <v>124</v>
      </c>
      <c r="B159" s="15" t="s">
        <v>760</v>
      </c>
      <c r="C159">
        <v>4</v>
      </c>
      <c r="D159" t="s">
        <v>660</v>
      </c>
      <c r="K159" t="s">
        <v>477</v>
      </c>
      <c r="M159" s="15" t="s">
        <v>477</v>
      </c>
      <c r="N159">
        <v>4</v>
      </c>
    </row>
    <row r="160" spans="1:14">
      <c r="A160" s="15" t="s">
        <v>348</v>
      </c>
      <c r="B160" s="15" t="s">
        <v>760</v>
      </c>
      <c r="C160" s="15">
        <v>5</v>
      </c>
      <c r="D160" s="15" t="s">
        <v>660</v>
      </c>
      <c r="E160" s="15" t="s">
        <v>654</v>
      </c>
      <c r="F160" s="15" t="s">
        <v>794</v>
      </c>
      <c r="G160" s="15"/>
      <c r="H160" s="15"/>
      <c r="I160" s="15" t="s">
        <v>755</v>
      </c>
      <c r="J160" s="15"/>
      <c r="K160" s="15"/>
      <c r="L160" s="15"/>
      <c r="M160" s="15" t="s">
        <v>877</v>
      </c>
      <c r="N160" s="15">
        <v>3</v>
      </c>
    </row>
    <row r="161" spans="1:14">
      <c r="A161" s="15" t="s">
        <v>349</v>
      </c>
      <c r="B161" s="15" t="s">
        <v>760</v>
      </c>
      <c r="C161" s="15">
        <v>6</v>
      </c>
      <c r="D161" s="15" t="s">
        <v>660</v>
      </c>
      <c r="E161" s="15" t="s">
        <v>654</v>
      </c>
      <c r="F161" s="15" t="s">
        <v>794</v>
      </c>
      <c r="G161" s="15"/>
      <c r="H161" s="15"/>
      <c r="I161" s="15" t="s">
        <v>751</v>
      </c>
      <c r="J161" s="15"/>
      <c r="K161" s="15"/>
      <c r="L161" s="15"/>
      <c r="M161" s="15" t="s">
        <v>882</v>
      </c>
      <c r="N161" s="15">
        <v>3</v>
      </c>
    </row>
    <row r="162" spans="1:14">
      <c r="A162" t="s">
        <v>351</v>
      </c>
      <c r="B162" t="s">
        <v>760</v>
      </c>
      <c r="C162">
        <v>6</v>
      </c>
      <c r="D162" t="s">
        <v>660</v>
      </c>
      <c r="E162" t="s">
        <v>654</v>
      </c>
      <c r="F162" t="s">
        <v>794</v>
      </c>
      <c r="H162" s="15"/>
      <c r="I162" t="s">
        <v>681</v>
      </c>
      <c r="M162" s="15" t="s">
        <v>882</v>
      </c>
      <c r="N162">
        <v>3</v>
      </c>
    </row>
    <row r="163" spans="1:14">
      <c r="A163" s="15" t="s">
        <v>350</v>
      </c>
      <c r="B163" s="15" t="s">
        <v>760</v>
      </c>
      <c r="C163" s="15">
        <v>6</v>
      </c>
      <c r="D163" s="15" t="s">
        <v>660</v>
      </c>
      <c r="E163" s="15" t="s">
        <v>654</v>
      </c>
      <c r="F163" s="15" t="s">
        <v>794</v>
      </c>
      <c r="G163" s="15"/>
      <c r="H163" s="15"/>
      <c r="I163" s="15" t="s">
        <v>678</v>
      </c>
      <c r="J163" s="15"/>
      <c r="K163" s="15"/>
      <c r="L163" s="15"/>
      <c r="M163" s="15" t="s">
        <v>886</v>
      </c>
      <c r="N163" s="15">
        <v>3</v>
      </c>
    </row>
    <row r="164" spans="1:14">
      <c r="A164" s="15" t="s">
        <v>352</v>
      </c>
      <c r="B164" s="15" t="s">
        <v>760</v>
      </c>
      <c r="C164" s="15">
        <v>7</v>
      </c>
      <c r="D164" s="15" t="s">
        <v>660</v>
      </c>
      <c r="E164" s="15" t="s">
        <v>654</v>
      </c>
      <c r="F164" s="15" t="s">
        <v>794</v>
      </c>
      <c r="G164" s="15"/>
      <c r="H164" s="15"/>
      <c r="I164" s="15"/>
      <c r="J164" s="15"/>
      <c r="K164" s="15"/>
      <c r="L164" s="15"/>
      <c r="M164" s="15" t="s">
        <v>661</v>
      </c>
      <c r="N164" s="15">
        <v>3</v>
      </c>
    </row>
    <row r="165" spans="1:14">
      <c r="A165" s="15" t="s">
        <v>95</v>
      </c>
      <c r="B165" s="15" t="s">
        <v>760</v>
      </c>
      <c r="C165" s="15">
        <v>8</v>
      </c>
      <c r="D165" s="15"/>
      <c r="E165" s="15" t="s">
        <v>654</v>
      </c>
      <c r="F165" s="15" t="s">
        <v>770</v>
      </c>
      <c r="G165" s="15"/>
      <c r="H165" s="15"/>
      <c r="I165" s="15" t="s">
        <v>811</v>
      </c>
      <c r="J165" s="15"/>
      <c r="K165" s="15"/>
      <c r="L165" s="15"/>
      <c r="M165" s="15" t="s">
        <v>661</v>
      </c>
      <c r="N165" s="15">
        <v>4</v>
      </c>
    </row>
    <row r="166" spans="1:14">
      <c r="A166" s="15" t="s">
        <v>85</v>
      </c>
      <c r="B166" s="15" t="s">
        <v>666</v>
      </c>
      <c r="C166" s="15">
        <v>2</v>
      </c>
      <c r="D166" s="15"/>
      <c r="E166" s="15" t="s">
        <v>654</v>
      </c>
      <c r="F166" s="15" t="s">
        <v>656</v>
      </c>
      <c r="G166" s="15" t="s">
        <v>684</v>
      </c>
      <c r="H166" s="15"/>
      <c r="I166" s="15"/>
      <c r="J166" s="15" t="s">
        <v>657</v>
      </c>
      <c r="K166" s="15"/>
      <c r="L166" s="15" t="s">
        <v>682</v>
      </c>
      <c r="M166" s="15" t="s">
        <v>892</v>
      </c>
      <c r="N166" s="15">
        <v>4</v>
      </c>
    </row>
    <row r="167" spans="1:14">
      <c r="A167" t="s">
        <v>289</v>
      </c>
      <c r="B167" s="15" t="s">
        <v>666</v>
      </c>
      <c r="C167">
        <v>2</v>
      </c>
      <c r="E167" t="s">
        <v>654</v>
      </c>
      <c r="F167" t="s">
        <v>763</v>
      </c>
      <c r="G167" t="s">
        <v>648</v>
      </c>
      <c r="K167" t="s">
        <v>477</v>
      </c>
      <c r="L167" t="s">
        <v>682</v>
      </c>
      <c r="M167" s="15" t="s">
        <v>879</v>
      </c>
      <c r="N167">
        <v>3</v>
      </c>
    </row>
    <row r="168" spans="1:14">
      <c r="A168" t="s">
        <v>73</v>
      </c>
      <c r="B168" t="s">
        <v>666</v>
      </c>
      <c r="C168">
        <v>2</v>
      </c>
      <c r="E168" t="s">
        <v>697</v>
      </c>
      <c r="K168" t="s">
        <v>477</v>
      </c>
      <c r="M168" s="15" t="s">
        <v>477</v>
      </c>
      <c r="N168">
        <v>4</v>
      </c>
    </row>
    <row r="169" spans="1:14">
      <c r="A169" s="15" t="s">
        <v>80</v>
      </c>
      <c r="B169" s="15" t="s">
        <v>666</v>
      </c>
      <c r="C169" s="15">
        <v>2</v>
      </c>
      <c r="D169" s="15"/>
      <c r="E169" s="15" t="s">
        <v>697</v>
      </c>
      <c r="F169" s="15"/>
      <c r="G169" s="15"/>
      <c r="H169" s="15"/>
      <c r="I169" s="15"/>
      <c r="J169" s="15"/>
      <c r="K169" s="15" t="s">
        <v>477</v>
      </c>
      <c r="L169" s="15"/>
      <c r="M169" s="15" t="s">
        <v>477</v>
      </c>
      <c r="N169" s="15">
        <v>4</v>
      </c>
    </row>
    <row r="170" spans="1:14">
      <c r="A170" s="15" t="s">
        <v>286</v>
      </c>
      <c r="B170" s="15" t="s">
        <v>666</v>
      </c>
      <c r="C170" s="15">
        <v>3</v>
      </c>
      <c r="D170" s="15" t="s">
        <v>698</v>
      </c>
      <c r="E170" s="15" t="s">
        <v>699</v>
      </c>
      <c r="F170" s="15"/>
      <c r="G170" s="15"/>
      <c r="H170" s="15"/>
      <c r="I170" s="15"/>
      <c r="J170" s="15"/>
      <c r="K170" s="15"/>
      <c r="L170" s="15"/>
      <c r="M170" s="15" t="s">
        <v>894</v>
      </c>
      <c r="N170" s="15">
        <v>3</v>
      </c>
    </row>
    <row r="171" spans="1:14">
      <c r="A171" t="s">
        <v>481</v>
      </c>
      <c r="B171" t="s">
        <v>666</v>
      </c>
      <c r="C171">
        <v>3</v>
      </c>
      <c r="E171" t="s">
        <v>654</v>
      </c>
      <c r="F171" t="s">
        <v>482</v>
      </c>
      <c r="G171" t="s">
        <v>652</v>
      </c>
      <c r="H171" s="15" t="s">
        <v>653</v>
      </c>
      <c r="I171" t="s">
        <v>678</v>
      </c>
      <c r="J171" t="s">
        <v>751</v>
      </c>
      <c r="M171" s="15" t="s">
        <v>882</v>
      </c>
      <c r="N171">
        <v>3</v>
      </c>
    </row>
    <row r="172" spans="1:14">
      <c r="A172" t="s">
        <v>395</v>
      </c>
      <c r="B172" s="15" t="s">
        <v>666</v>
      </c>
      <c r="C172">
        <v>3</v>
      </c>
      <c r="E172" t="s">
        <v>654</v>
      </c>
      <c r="F172" t="s">
        <v>797</v>
      </c>
      <c r="G172" t="s">
        <v>739</v>
      </c>
      <c r="J172" t="s">
        <v>801</v>
      </c>
      <c r="L172" t="s">
        <v>682</v>
      </c>
      <c r="M172" s="15" t="s">
        <v>889</v>
      </c>
      <c r="N172">
        <v>3</v>
      </c>
    </row>
    <row r="173" spans="1:14">
      <c r="A173" s="15" t="s">
        <v>81</v>
      </c>
      <c r="B173" s="15" t="s">
        <v>666</v>
      </c>
      <c r="C173" s="15">
        <v>3</v>
      </c>
      <c r="D173" s="15"/>
      <c r="E173" s="15" t="s">
        <v>697</v>
      </c>
      <c r="F173" s="15"/>
      <c r="G173" s="15"/>
      <c r="H173" s="15"/>
      <c r="I173" s="15"/>
      <c r="J173" s="15"/>
      <c r="K173" s="15" t="s">
        <v>477</v>
      </c>
      <c r="L173" s="15"/>
      <c r="M173" s="15" t="s">
        <v>477</v>
      </c>
      <c r="N173" s="15">
        <v>3</v>
      </c>
    </row>
    <row r="174" spans="1:14">
      <c r="A174" s="15" t="s">
        <v>300</v>
      </c>
      <c r="B174" s="15" t="s">
        <v>666</v>
      </c>
      <c r="C174" s="15">
        <v>3</v>
      </c>
      <c r="D174" s="15"/>
      <c r="E174" s="15" t="s">
        <v>697</v>
      </c>
      <c r="F174" s="15"/>
      <c r="G174" s="15"/>
      <c r="H174" s="15"/>
      <c r="I174" s="15"/>
      <c r="J174" s="15"/>
      <c r="K174" s="15"/>
      <c r="L174" s="15"/>
      <c r="M174" s="15" t="s">
        <v>888</v>
      </c>
      <c r="N174" s="15">
        <v>2</v>
      </c>
    </row>
    <row r="175" spans="1:14">
      <c r="A175" t="s">
        <v>563</v>
      </c>
      <c r="B175" s="15" t="s">
        <v>666</v>
      </c>
      <c r="C175">
        <v>3</v>
      </c>
      <c r="E175" t="s">
        <v>659</v>
      </c>
      <c r="H175" s="15"/>
      <c r="M175" s="15" t="s">
        <v>888</v>
      </c>
      <c r="N175">
        <v>4</v>
      </c>
    </row>
    <row r="176" spans="1:14">
      <c r="A176" s="15" t="s">
        <v>78</v>
      </c>
      <c r="B176" s="15" t="s">
        <v>666</v>
      </c>
      <c r="C176" s="15">
        <v>3</v>
      </c>
      <c r="D176" s="15"/>
      <c r="E176" s="15" t="s">
        <v>659</v>
      </c>
      <c r="F176" s="15"/>
      <c r="G176" s="15"/>
      <c r="H176" s="15"/>
      <c r="I176" s="15"/>
      <c r="J176" s="15"/>
      <c r="K176" s="15"/>
      <c r="L176" s="15"/>
      <c r="M176" s="15" t="s">
        <v>875</v>
      </c>
      <c r="N176" s="15">
        <v>4</v>
      </c>
    </row>
    <row r="177" spans="1:14">
      <c r="A177" s="15" t="s">
        <v>74</v>
      </c>
      <c r="B177" s="15" t="s">
        <v>666</v>
      </c>
      <c r="C177" s="15">
        <v>4</v>
      </c>
      <c r="D177" s="15" t="s">
        <v>660</v>
      </c>
      <c r="E177" s="15" t="s">
        <v>654</v>
      </c>
      <c r="F177" s="15" t="s">
        <v>482</v>
      </c>
      <c r="G177" s="15" t="s">
        <v>684</v>
      </c>
      <c r="H177" s="15"/>
      <c r="I177" s="15" t="s">
        <v>704</v>
      </c>
      <c r="J177" s="15"/>
      <c r="K177" s="15"/>
      <c r="L177" s="15"/>
      <c r="M177" s="15" t="s">
        <v>889</v>
      </c>
      <c r="N177" s="15">
        <v>3</v>
      </c>
    </row>
    <row r="178" spans="1:14">
      <c r="A178" s="15" t="s">
        <v>327</v>
      </c>
      <c r="B178" t="s">
        <v>666</v>
      </c>
      <c r="C178">
        <v>4</v>
      </c>
      <c r="E178" t="s">
        <v>654</v>
      </c>
      <c r="F178" t="s">
        <v>796</v>
      </c>
      <c r="I178" t="s">
        <v>678</v>
      </c>
      <c r="J178" t="s">
        <v>800</v>
      </c>
      <c r="M178" s="15" t="s">
        <v>954</v>
      </c>
      <c r="N178">
        <v>2</v>
      </c>
    </row>
    <row r="179" spans="1:14">
      <c r="A179" t="s">
        <v>536</v>
      </c>
      <c r="B179" t="s">
        <v>666</v>
      </c>
      <c r="C179">
        <v>4</v>
      </c>
      <c r="E179" t="s">
        <v>697</v>
      </c>
      <c r="K179" t="s">
        <v>477</v>
      </c>
      <c r="M179" s="15" t="s">
        <v>477</v>
      </c>
      <c r="N179">
        <v>3</v>
      </c>
    </row>
    <row r="180" spans="1:14">
      <c r="A180" s="15" t="s">
        <v>329</v>
      </c>
      <c r="B180" s="15" t="s">
        <v>666</v>
      </c>
      <c r="C180" s="15">
        <v>5</v>
      </c>
      <c r="D180" s="15"/>
      <c r="E180" s="15" t="s">
        <v>654</v>
      </c>
      <c r="F180" s="15" t="s">
        <v>482</v>
      </c>
      <c r="G180" s="15" t="s">
        <v>684</v>
      </c>
      <c r="H180" s="15"/>
      <c r="I180" s="15"/>
      <c r="J180" s="15"/>
      <c r="K180" s="15"/>
      <c r="L180" s="15"/>
      <c r="M180" s="15" t="s">
        <v>955</v>
      </c>
      <c r="N180" s="15">
        <v>3</v>
      </c>
    </row>
    <row r="181" spans="1:14">
      <c r="A181" t="s">
        <v>79</v>
      </c>
      <c r="B181" s="15" t="s">
        <v>666</v>
      </c>
      <c r="C181">
        <v>5</v>
      </c>
      <c r="E181" t="s">
        <v>654</v>
      </c>
      <c r="F181" t="s">
        <v>753</v>
      </c>
      <c r="I181" t="s">
        <v>704</v>
      </c>
      <c r="M181" s="15" t="s">
        <v>889</v>
      </c>
      <c r="N181">
        <v>3</v>
      </c>
    </row>
    <row r="182" spans="1:14">
      <c r="A182" s="15" t="s">
        <v>793</v>
      </c>
      <c r="B182" s="15" t="s">
        <v>666</v>
      </c>
      <c r="C182" s="15">
        <v>5</v>
      </c>
      <c r="D182" s="15"/>
      <c r="E182" s="15" t="s">
        <v>654</v>
      </c>
      <c r="F182" s="15" t="s">
        <v>769</v>
      </c>
      <c r="G182" s="15"/>
      <c r="H182" s="15"/>
      <c r="I182" s="15" t="s">
        <v>704</v>
      </c>
      <c r="J182" s="15"/>
      <c r="K182" s="15"/>
      <c r="L182" s="15"/>
      <c r="M182" s="15" t="s">
        <v>889</v>
      </c>
      <c r="N182" s="15">
        <v>3</v>
      </c>
    </row>
    <row r="183" spans="1:14">
      <c r="A183" s="15" t="s">
        <v>71</v>
      </c>
      <c r="B183" s="15" t="s">
        <v>666</v>
      </c>
      <c r="C183" s="15">
        <v>5</v>
      </c>
      <c r="D183" s="15" t="s">
        <v>660</v>
      </c>
      <c r="E183" s="15" t="s">
        <v>654</v>
      </c>
      <c r="F183" s="15" t="s">
        <v>794</v>
      </c>
      <c r="G183" s="15"/>
      <c r="H183" s="15" t="s">
        <v>653</v>
      </c>
      <c r="I183" s="15" t="s">
        <v>704</v>
      </c>
      <c r="J183" s="15"/>
      <c r="K183" s="15"/>
      <c r="L183" s="15"/>
      <c r="M183" s="15" t="s">
        <v>889</v>
      </c>
      <c r="N183" s="15">
        <v>2</v>
      </c>
    </row>
    <row r="184" spans="1:14">
      <c r="A184" t="s">
        <v>582</v>
      </c>
      <c r="B184" s="15" t="s">
        <v>666</v>
      </c>
      <c r="C184">
        <v>6</v>
      </c>
      <c r="E184" t="s">
        <v>654</v>
      </c>
      <c r="F184" t="s">
        <v>661</v>
      </c>
      <c r="I184" t="s">
        <v>802</v>
      </c>
      <c r="J184" t="s">
        <v>803</v>
      </c>
      <c r="M184" s="15" t="s">
        <v>876</v>
      </c>
      <c r="N184">
        <v>3</v>
      </c>
    </row>
    <row r="185" spans="1:14">
      <c r="A185" s="15" t="s">
        <v>84</v>
      </c>
      <c r="B185" s="15" t="s">
        <v>666</v>
      </c>
      <c r="C185" s="15">
        <v>6</v>
      </c>
      <c r="D185" s="15"/>
      <c r="E185" s="15" t="s">
        <v>654</v>
      </c>
      <c r="F185" s="15" t="s">
        <v>782</v>
      </c>
      <c r="G185" s="15"/>
      <c r="H185" s="15"/>
      <c r="I185" s="15" t="s">
        <v>662</v>
      </c>
      <c r="J185" s="15" t="s">
        <v>803</v>
      </c>
      <c r="K185" s="15"/>
      <c r="L185" s="15"/>
      <c r="M185" s="15" t="s">
        <v>876</v>
      </c>
      <c r="N185" s="15">
        <v>3</v>
      </c>
    </row>
    <row r="186" spans="1:14">
      <c r="A186" t="s">
        <v>462</v>
      </c>
      <c r="B186" t="s">
        <v>666</v>
      </c>
      <c r="C186">
        <v>6</v>
      </c>
      <c r="D186" t="s">
        <v>660</v>
      </c>
      <c r="E186" t="s">
        <v>654</v>
      </c>
      <c r="F186" t="s">
        <v>661</v>
      </c>
      <c r="I186" t="s">
        <v>662</v>
      </c>
      <c r="J186" t="s">
        <v>665</v>
      </c>
      <c r="M186" s="15" t="s">
        <v>876</v>
      </c>
      <c r="N186">
        <v>3</v>
      </c>
    </row>
    <row r="187" spans="1:14">
      <c r="A187" t="s">
        <v>278</v>
      </c>
      <c r="B187" t="s">
        <v>759</v>
      </c>
      <c r="C187">
        <v>1</v>
      </c>
      <c r="D187" t="s">
        <v>698</v>
      </c>
      <c r="E187" t="s">
        <v>699</v>
      </c>
      <c r="M187" s="15" t="s">
        <v>894</v>
      </c>
      <c r="N187">
        <v>4</v>
      </c>
    </row>
    <row r="188" spans="1:14">
      <c r="A188" t="s">
        <v>163</v>
      </c>
      <c r="B188" t="s">
        <v>759</v>
      </c>
      <c r="C188">
        <v>1</v>
      </c>
      <c r="E188" t="s">
        <v>654</v>
      </c>
      <c r="F188" t="s">
        <v>777</v>
      </c>
      <c r="J188" t="s">
        <v>520</v>
      </c>
      <c r="M188" s="15" t="s">
        <v>882</v>
      </c>
      <c r="N188">
        <v>4</v>
      </c>
    </row>
    <row r="189" spans="1:14">
      <c r="A189" s="15" t="s">
        <v>565</v>
      </c>
      <c r="B189" s="15" t="s">
        <v>759</v>
      </c>
      <c r="C189" s="15">
        <v>1</v>
      </c>
      <c r="D189" s="15"/>
      <c r="E189" s="15" t="s">
        <v>654</v>
      </c>
      <c r="F189" s="15" t="s">
        <v>656</v>
      </c>
      <c r="G189" s="15" t="s">
        <v>736</v>
      </c>
      <c r="H189" s="15"/>
      <c r="I189" s="15"/>
      <c r="J189" s="15"/>
      <c r="K189" s="15"/>
      <c r="L189" s="15"/>
      <c r="M189" s="15" t="s">
        <v>882</v>
      </c>
      <c r="N189" s="15">
        <v>4</v>
      </c>
    </row>
    <row r="190" spans="1:14">
      <c r="A190" s="15" t="s">
        <v>156</v>
      </c>
      <c r="B190" s="15" t="s">
        <v>759</v>
      </c>
      <c r="C190" s="15">
        <v>1</v>
      </c>
      <c r="D190" s="15"/>
      <c r="E190" s="15" t="s">
        <v>654</v>
      </c>
      <c r="F190" s="15" t="s">
        <v>775</v>
      </c>
      <c r="G190" s="15" t="s">
        <v>776</v>
      </c>
      <c r="H190" s="15"/>
      <c r="I190" s="15"/>
      <c r="J190" s="15"/>
      <c r="K190" s="15"/>
      <c r="L190" s="15"/>
      <c r="M190" s="15" t="s">
        <v>946</v>
      </c>
      <c r="N190" s="15">
        <v>3</v>
      </c>
    </row>
    <row r="191" spans="1:14">
      <c r="A191" t="s">
        <v>65</v>
      </c>
      <c r="B191" t="s">
        <v>759</v>
      </c>
      <c r="C191">
        <v>1</v>
      </c>
      <c r="E191" t="s">
        <v>654</v>
      </c>
      <c r="F191" t="s">
        <v>775</v>
      </c>
      <c r="G191" t="s">
        <v>776</v>
      </c>
      <c r="M191" s="15" t="s">
        <v>946</v>
      </c>
      <c r="N191">
        <v>3</v>
      </c>
    </row>
    <row r="192" spans="1:14">
      <c r="A192" s="15" t="s">
        <v>630</v>
      </c>
      <c r="B192" s="15" t="s">
        <v>759</v>
      </c>
      <c r="C192" s="15">
        <v>1</v>
      </c>
      <c r="D192" s="15"/>
      <c r="E192" s="15" t="s">
        <v>654</v>
      </c>
      <c r="F192" s="15" t="s">
        <v>482</v>
      </c>
      <c r="G192" s="15" t="s">
        <v>677</v>
      </c>
      <c r="H192" s="15"/>
      <c r="I192" s="15"/>
      <c r="J192" s="15"/>
      <c r="K192" s="15"/>
      <c r="L192" s="15"/>
      <c r="M192" s="15" t="s">
        <v>946</v>
      </c>
      <c r="N192" s="15">
        <v>3</v>
      </c>
    </row>
    <row r="193" spans="1:14">
      <c r="A193" t="s">
        <v>162</v>
      </c>
      <c r="B193" t="s">
        <v>759</v>
      </c>
      <c r="C193">
        <v>1</v>
      </c>
      <c r="E193" t="s">
        <v>697</v>
      </c>
      <c r="J193" t="s">
        <v>703</v>
      </c>
      <c r="M193" s="15" t="s">
        <v>894</v>
      </c>
      <c r="N193">
        <v>3</v>
      </c>
    </row>
    <row r="194" spans="1:14">
      <c r="A194" s="15" t="s">
        <v>69</v>
      </c>
      <c r="B194" s="15" t="s">
        <v>759</v>
      </c>
      <c r="C194" s="15">
        <v>1</v>
      </c>
      <c r="D194" s="15"/>
      <c r="E194" s="15" t="s">
        <v>697</v>
      </c>
      <c r="F194" s="15"/>
      <c r="G194" s="15"/>
      <c r="H194" s="15"/>
      <c r="I194" s="15"/>
      <c r="J194" s="15" t="s">
        <v>686</v>
      </c>
      <c r="K194" s="15"/>
      <c r="L194" s="15"/>
      <c r="M194" s="15" t="s">
        <v>894</v>
      </c>
      <c r="N194" s="15">
        <v>3</v>
      </c>
    </row>
    <row r="195" spans="1:14">
      <c r="A195" t="s">
        <v>260</v>
      </c>
      <c r="B195" t="s">
        <v>759</v>
      </c>
      <c r="C195">
        <v>2</v>
      </c>
      <c r="E195" t="s">
        <v>654</v>
      </c>
      <c r="F195" t="s">
        <v>762</v>
      </c>
      <c r="L195" t="s">
        <v>717</v>
      </c>
      <c r="M195" s="15" t="s">
        <v>882</v>
      </c>
      <c r="N195">
        <v>4</v>
      </c>
    </row>
    <row r="196" spans="1:14">
      <c r="A196" t="s">
        <v>551</v>
      </c>
      <c r="B196" t="s">
        <v>759</v>
      </c>
      <c r="C196">
        <v>2</v>
      </c>
      <c r="E196" t="s">
        <v>654</v>
      </c>
      <c r="F196" t="s">
        <v>661</v>
      </c>
      <c r="I196" t="s">
        <v>790</v>
      </c>
      <c r="M196" s="15" t="s">
        <v>882</v>
      </c>
      <c r="N196">
        <v>4</v>
      </c>
    </row>
    <row r="197" spans="1:14">
      <c r="A197" t="s">
        <v>185</v>
      </c>
      <c r="B197" t="s">
        <v>759</v>
      </c>
      <c r="C197">
        <v>2</v>
      </c>
      <c r="E197" t="s">
        <v>654</v>
      </c>
      <c r="F197" t="s">
        <v>779</v>
      </c>
      <c r="G197" t="s">
        <v>747</v>
      </c>
      <c r="L197" t="s">
        <v>682</v>
      </c>
      <c r="M197" s="15" t="s">
        <v>946</v>
      </c>
      <c r="N197">
        <v>4</v>
      </c>
    </row>
    <row r="198" spans="1:14">
      <c r="A198" t="s">
        <v>179</v>
      </c>
      <c r="B198" t="s">
        <v>759</v>
      </c>
      <c r="C198">
        <v>2</v>
      </c>
      <c r="E198" t="s">
        <v>654</v>
      </c>
      <c r="F198" t="s">
        <v>779</v>
      </c>
      <c r="I198" t="s">
        <v>788</v>
      </c>
      <c r="J198" t="s">
        <v>727</v>
      </c>
      <c r="M198" s="15" t="s">
        <v>882</v>
      </c>
      <c r="N198">
        <v>3</v>
      </c>
    </row>
    <row r="199" spans="1:14">
      <c r="A199" t="s">
        <v>68</v>
      </c>
      <c r="B199" t="s">
        <v>759</v>
      </c>
      <c r="C199">
        <v>2</v>
      </c>
      <c r="E199" t="s">
        <v>654</v>
      </c>
      <c r="F199" t="s">
        <v>779</v>
      </c>
      <c r="I199" t="s">
        <v>713</v>
      </c>
      <c r="J199" t="s">
        <v>727</v>
      </c>
      <c r="M199" s="15" t="s">
        <v>882</v>
      </c>
      <c r="N199">
        <v>3</v>
      </c>
    </row>
    <row r="200" spans="1:14">
      <c r="A200" s="15" t="s">
        <v>470</v>
      </c>
      <c r="B200" s="15" t="s">
        <v>759</v>
      </c>
      <c r="C200" s="15">
        <v>2</v>
      </c>
      <c r="D200" s="15"/>
      <c r="E200" s="15" t="s">
        <v>654</v>
      </c>
      <c r="F200" s="15" t="s">
        <v>775</v>
      </c>
      <c r="G200" s="15" t="s">
        <v>712</v>
      </c>
      <c r="H200" s="15"/>
      <c r="I200" s="15" t="s">
        <v>789</v>
      </c>
      <c r="J200" s="15"/>
      <c r="K200" s="15"/>
      <c r="L200" s="15"/>
      <c r="M200" s="15" t="s">
        <v>882</v>
      </c>
      <c r="N200" s="15">
        <v>3</v>
      </c>
    </row>
    <row r="201" spans="1:14">
      <c r="A201" t="s">
        <v>305</v>
      </c>
      <c r="B201" t="s">
        <v>759</v>
      </c>
      <c r="C201">
        <v>2</v>
      </c>
      <c r="E201" t="s">
        <v>654</v>
      </c>
      <c r="F201" t="s">
        <v>775</v>
      </c>
      <c r="G201" t="s">
        <v>673</v>
      </c>
      <c r="M201" s="15" t="s">
        <v>947</v>
      </c>
      <c r="N201">
        <v>3</v>
      </c>
    </row>
    <row r="202" spans="1:14">
      <c r="A202" s="15" t="s">
        <v>325</v>
      </c>
      <c r="B202" s="15" t="s">
        <v>759</v>
      </c>
      <c r="C202" s="15">
        <v>2</v>
      </c>
      <c r="D202" s="15"/>
      <c r="E202" s="15" t="s">
        <v>654</v>
      </c>
      <c r="F202" s="15" t="s">
        <v>770</v>
      </c>
      <c r="G202" s="15" t="s">
        <v>771</v>
      </c>
      <c r="H202" s="15"/>
      <c r="I202" s="15"/>
      <c r="J202" s="15"/>
      <c r="K202" s="15"/>
      <c r="L202" s="15" t="s">
        <v>682</v>
      </c>
      <c r="M202" s="15" t="s">
        <v>889</v>
      </c>
      <c r="N202" s="15">
        <v>3</v>
      </c>
    </row>
    <row r="203" spans="1:14">
      <c r="A203" t="s">
        <v>437</v>
      </c>
      <c r="B203" t="s">
        <v>759</v>
      </c>
      <c r="C203">
        <v>2</v>
      </c>
      <c r="E203" t="s">
        <v>654</v>
      </c>
      <c r="F203" t="s">
        <v>775</v>
      </c>
      <c r="G203" t="s">
        <v>778</v>
      </c>
      <c r="I203" t="s">
        <v>786</v>
      </c>
      <c r="J203" t="s">
        <v>787</v>
      </c>
      <c r="M203" s="15" t="s">
        <v>889</v>
      </c>
      <c r="N203">
        <v>2</v>
      </c>
    </row>
    <row r="204" spans="1:14">
      <c r="A204" s="15" t="s">
        <v>188</v>
      </c>
      <c r="B204" s="15" t="s">
        <v>759</v>
      </c>
      <c r="C204" s="15">
        <v>2</v>
      </c>
      <c r="D204" s="15"/>
      <c r="E204" s="15" t="s">
        <v>697</v>
      </c>
      <c r="F204" s="15"/>
      <c r="G204" s="15"/>
      <c r="H204" s="15"/>
      <c r="I204" s="15" t="s">
        <v>723</v>
      </c>
      <c r="J204" s="15" t="s">
        <v>791</v>
      </c>
      <c r="K204" s="15"/>
      <c r="L204" s="15"/>
      <c r="M204" s="15" t="s">
        <v>889</v>
      </c>
      <c r="N204" s="15">
        <v>4</v>
      </c>
    </row>
    <row r="205" spans="1:14">
      <c r="A205" t="s">
        <v>168</v>
      </c>
      <c r="B205" t="s">
        <v>759</v>
      </c>
      <c r="C205">
        <v>2</v>
      </c>
      <c r="E205" t="s">
        <v>659</v>
      </c>
      <c r="I205" t="s">
        <v>704</v>
      </c>
      <c r="L205" t="s">
        <v>682</v>
      </c>
      <c r="M205" s="15" t="s">
        <v>902</v>
      </c>
      <c r="N205">
        <v>4</v>
      </c>
    </row>
    <row r="206" spans="1:14">
      <c r="A206" s="15" t="s">
        <v>61</v>
      </c>
      <c r="B206" s="15" t="s">
        <v>759</v>
      </c>
      <c r="C206" s="15">
        <v>2</v>
      </c>
      <c r="D206" s="15"/>
      <c r="E206" s="15" t="s">
        <v>659</v>
      </c>
      <c r="F206" s="15"/>
      <c r="G206" s="15"/>
      <c r="H206" s="15"/>
      <c r="I206" s="15"/>
      <c r="J206" s="15"/>
      <c r="K206" s="15"/>
      <c r="L206" s="15"/>
      <c r="M206" s="15" t="s">
        <v>902</v>
      </c>
      <c r="N206" s="15">
        <v>4</v>
      </c>
    </row>
    <row r="207" spans="1:14">
      <c r="A207" t="s">
        <v>927</v>
      </c>
      <c r="B207" t="s">
        <v>759</v>
      </c>
      <c r="C207">
        <v>2</v>
      </c>
      <c r="E207" t="s">
        <v>659</v>
      </c>
      <c r="M207" s="15" t="s">
        <v>878</v>
      </c>
      <c r="N207">
        <v>2</v>
      </c>
    </row>
    <row r="208" spans="1:14">
      <c r="A208" s="15" t="s">
        <v>918</v>
      </c>
      <c r="B208" s="15" t="s">
        <v>759</v>
      </c>
      <c r="C208" s="15">
        <v>2</v>
      </c>
      <c r="D208" s="15"/>
      <c r="E208" s="15" t="s">
        <v>659</v>
      </c>
      <c r="F208" s="15"/>
      <c r="G208" s="15"/>
      <c r="H208" s="15"/>
      <c r="I208" s="15"/>
      <c r="J208" s="15" t="s">
        <v>703</v>
      </c>
      <c r="K208" s="15"/>
      <c r="L208" s="15"/>
      <c r="M208" s="15" t="s">
        <v>894</v>
      </c>
      <c r="N208" s="15">
        <v>2</v>
      </c>
    </row>
    <row r="209" spans="1:14">
      <c r="A209" t="s">
        <v>596</v>
      </c>
      <c r="B209" t="s">
        <v>759</v>
      </c>
      <c r="C209">
        <v>3</v>
      </c>
      <c r="D209" t="s">
        <v>698</v>
      </c>
      <c r="E209" t="s">
        <v>699</v>
      </c>
      <c r="K209" t="s">
        <v>477</v>
      </c>
      <c r="M209" s="15" t="s">
        <v>477</v>
      </c>
      <c r="N209">
        <v>3</v>
      </c>
    </row>
    <row r="210" spans="1:14">
      <c r="A210" t="s">
        <v>285</v>
      </c>
      <c r="B210" t="s">
        <v>759</v>
      </c>
      <c r="C210">
        <v>3</v>
      </c>
      <c r="E210" t="s">
        <v>654</v>
      </c>
      <c r="F210" t="s">
        <v>482</v>
      </c>
      <c r="G210" t="s">
        <v>776</v>
      </c>
      <c r="L210" t="s">
        <v>682</v>
      </c>
      <c r="M210" s="15" t="s">
        <v>881</v>
      </c>
      <c r="N210">
        <v>4</v>
      </c>
    </row>
    <row r="211" spans="1:14">
      <c r="A211" s="15" t="s">
        <v>293</v>
      </c>
      <c r="B211" s="15" t="s">
        <v>759</v>
      </c>
      <c r="C211" s="15">
        <v>3</v>
      </c>
      <c r="D211" s="15"/>
      <c r="E211" s="15" t="s">
        <v>654</v>
      </c>
      <c r="F211" s="15" t="s">
        <v>482</v>
      </c>
      <c r="G211" s="15" t="s">
        <v>776</v>
      </c>
      <c r="H211" s="15"/>
      <c r="I211" s="15"/>
      <c r="J211" s="15" t="s">
        <v>686</v>
      </c>
      <c r="K211" s="15"/>
      <c r="L211" s="15"/>
      <c r="M211" s="15" t="s">
        <v>881</v>
      </c>
      <c r="N211" s="15">
        <v>3</v>
      </c>
    </row>
    <row r="212" spans="1:14">
      <c r="A212" s="15" t="s">
        <v>282</v>
      </c>
      <c r="B212" s="15" t="s">
        <v>759</v>
      </c>
      <c r="C212" s="15">
        <v>3</v>
      </c>
      <c r="D212" s="15"/>
      <c r="E212" s="15" t="s">
        <v>654</v>
      </c>
      <c r="F212" s="15" t="s">
        <v>780</v>
      </c>
      <c r="G212" s="15"/>
      <c r="H212" s="15"/>
      <c r="I212" s="15" t="s">
        <v>679</v>
      </c>
      <c r="J212" s="15" t="s">
        <v>764</v>
      </c>
      <c r="K212" s="15"/>
      <c r="L212" s="15"/>
      <c r="M212" s="15" t="s">
        <v>882</v>
      </c>
      <c r="N212" s="15">
        <v>3</v>
      </c>
    </row>
    <row r="213" spans="1:14">
      <c r="A213" t="s">
        <v>611</v>
      </c>
      <c r="B213" t="s">
        <v>759</v>
      </c>
      <c r="C213">
        <v>3</v>
      </c>
      <c r="E213" t="s">
        <v>654</v>
      </c>
      <c r="F213" t="s">
        <v>775</v>
      </c>
      <c r="G213" t="s">
        <v>747</v>
      </c>
      <c r="M213" s="15" t="s">
        <v>896</v>
      </c>
      <c r="N213">
        <v>3</v>
      </c>
    </row>
    <row r="214" spans="1:14">
      <c r="A214" t="s">
        <v>439</v>
      </c>
      <c r="B214" t="s">
        <v>759</v>
      </c>
      <c r="C214">
        <v>3</v>
      </c>
      <c r="E214" t="s">
        <v>654</v>
      </c>
      <c r="F214" t="s">
        <v>775</v>
      </c>
      <c r="G214" t="s">
        <v>736</v>
      </c>
      <c r="H214" t="s">
        <v>776</v>
      </c>
      <c r="M214" s="15" t="s">
        <v>947</v>
      </c>
      <c r="N214">
        <v>3</v>
      </c>
    </row>
    <row r="215" spans="1:14">
      <c r="A215" s="15" t="s">
        <v>773</v>
      </c>
      <c r="B215" s="15" t="s">
        <v>759</v>
      </c>
      <c r="C215" s="15">
        <v>3</v>
      </c>
      <c r="D215" s="15"/>
      <c r="E215" s="15" t="s">
        <v>654</v>
      </c>
      <c r="F215" s="15" t="s">
        <v>693</v>
      </c>
      <c r="G215" s="15"/>
      <c r="H215" s="15"/>
      <c r="I215" s="15"/>
      <c r="J215" s="15" t="s">
        <v>669</v>
      </c>
      <c r="K215" s="15"/>
      <c r="L215" s="15"/>
      <c r="M215" s="15" t="s">
        <v>954</v>
      </c>
      <c r="N215" s="15">
        <v>3</v>
      </c>
    </row>
    <row r="216" spans="1:14">
      <c r="A216" s="15" t="s">
        <v>262</v>
      </c>
      <c r="B216" s="15" t="s">
        <v>759</v>
      </c>
      <c r="C216" s="15">
        <v>3</v>
      </c>
      <c r="D216" s="15"/>
      <c r="E216" s="15" t="s">
        <v>654</v>
      </c>
      <c r="F216" s="15" t="s">
        <v>775</v>
      </c>
      <c r="G216" s="15"/>
      <c r="H216" s="15"/>
      <c r="I216" s="15"/>
      <c r="J216" s="15"/>
      <c r="K216" s="15"/>
      <c r="L216" s="15"/>
      <c r="M216" s="15" t="s">
        <v>883</v>
      </c>
      <c r="N216" s="15">
        <v>3</v>
      </c>
    </row>
    <row r="217" spans="1:14">
      <c r="A217" s="15" t="s">
        <v>944</v>
      </c>
      <c r="B217" s="15" t="s">
        <v>759</v>
      </c>
      <c r="C217" s="15">
        <v>3</v>
      </c>
      <c r="D217" s="15"/>
      <c r="E217" s="15" t="s">
        <v>654</v>
      </c>
      <c r="F217" s="15" t="s">
        <v>482</v>
      </c>
      <c r="G217" s="15" t="s">
        <v>906</v>
      </c>
      <c r="H217" s="15"/>
      <c r="I217" s="15"/>
      <c r="J217" s="15"/>
      <c r="K217" s="15"/>
      <c r="L217" s="15"/>
      <c r="M217" s="15" t="s">
        <v>882</v>
      </c>
      <c r="N217" s="15">
        <v>2</v>
      </c>
    </row>
    <row r="218" spans="1:14">
      <c r="A218" s="15" t="s">
        <v>59</v>
      </c>
      <c r="B218" s="15" t="s">
        <v>759</v>
      </c>
      <c r="C218" s="15">
        <v>3</v>
      </c>
      <c r="D218" s="15"/>
      <c r="E218" s="15" t="s">
        <v>654</v>
      </c>
      <c r="F218" s="15" t="s">
        <v>482</v>
      </c>
      <c r="G218" s="15" t="s">
        <v>778</v>
      </c>
      <c r="H218" s="15"/>
      <c r="I218" s="15" t="s">
        <v>786</v>
      </c>
      <c r="J218" s="15" t="s">
        <v>657</v>
      </c>
      <c r="K218" s="15"/>
      <c r="L218" s="15"/>
      <c r="M218" s="15" t="s">
        <v>889</v>
      </c>
      <c r="N218" s="15">
        <v>2</v>
      </c>
    </row>
    <row r="219" spans="1:14">
      <c r="A219" t="s">
        <v>62</v>
      </c>
      <c r="B219" t="s">
        <v>759</v>
      </c>
      <c r="C219">
        <v>3</v>
      </c>
      <c r="E219" t="s">
        <v>697</v>
      </c>
      <c r="L219" t="s">
        <v>682</v>
      </c>
      <c r="M219" s="15" t="s">
        <v>902</v>
      </c>
      <c r="N219">
        <v>4</v>
      </c>
    </row>
    <row r="220" spans="1:14">
      <c r="A220" t="s">
        <v>208</v>
      </c>
      <c r="B220" t="s">
        <v>759</v>
      </c>
      <c r="C220">
        <v>3</v>
      </c>
      <c r="E220" t="s">
        <v>659</v>
      </c>
      <c r="H220" t="s">
        <v>792</v>
      </c>
      <c r="M220" s="15" t="s">
        <v>902</v>
      </c>
      <c r="N220">
        <v>4</v>
      </c>
    </row>
    <row r="221" spans="1:14">
      <c r="A221" t="s">
        <v>311</v>
      </c>
      <c r="B221" t="s">
        <v>759</v>
      </c>
      <c r="C221">
        <v>3</v>
      </c>
      <c r="E221" t="s">
        <v>659</v>
      </c>
      <c r="M221" s="15" t="s">
        <v>902</v>
      </c>
      <c r="N221">
        <v>4</v>
      </c>
    </row>
    <row r="222" spans="1:14">
      <c r="A222" t="s">
        <v>218</v>
      </c>
      <c r="B222" t="s">
        <v>759</v>
      </c>
      <c r="C222">
        <v>3</v>
      </c>
      <c r="E222" t="s">
        <v>659</v>
      </c>
      <c r="J222" t="s">
        <v>733</v>
      </c>
      <c r="M222" s="15" t="s">
        <v>902</v>
      </c>
      <c r="N222">
        <v>2</v>
      </c>
    </row>
    <row r="223" spans="1:14">
      <c r="A223" t="s">
        <v>436</v>
      </c>
      <c r="B223" t="s">
        <v>759</v>
      </c>
      <c r="C223">
        <v>4</v>
      </c>
      <c r="E223" t="s">
        <v>654</v>
      </c>
      <c r="F223" t="s">
        <v>661</v>
      </c>
      <c r="I223" t="s">
        <v>690</v>
      </c>
      <c r="J223" t="s">
        <v>691</v>
      </c>
      <c r="L223" t="s">
        <v>682</v>
      </c>
      <c r="M223" s="15" t="s">
        <v>882</v>
      </c>
      <c r="N223">
        <v>4</v>
      </c>
    </row>
    <row r="224" spans="1:14">
      <c r="A224" s="15" t="s">
        <v>438</v>
      </c>
      <c r="B224" s="15" t="s">
        <v>759</v>
      </c>
      <c r="C224" s="15">
        <v>4</v>
      </c>
      <c r="D224" s="15"/>
      <c r="E224" s="15" t="s">
        <v>654</v>
      </c>
      <c r="F224" s="15" t="s">
        <v>781</v>
      </c>
      <c r="G224" s="15" t="s">
        <v>747</v>
      </c>
      <c r="H224" s="15"/>
      <c r="I224" s="15"/>
      <c r="J224" s="15"/>
      <c r="K224" s="15"/>
      <c r="L224" s="15"/>
      <c r="M224" s="15" t="s">
        <v>892</v>
      </c>
      <c r="N224" s="15">
        <v>4</v>
      </c>
    </row>
    <row r="225" spans="1:14">
      <c r="A225" t="s">
        <v>249</v>
      </c>
      <c r="B225" t="s">
        <v>759</v>
      </c>
      <c r="C225">
        <v>4</v>
      </c>
      <c r="E225" t="s">
        <v>654</v>
      </c>
      <c r="F225" t="s">
        <v>782</v>
      </c>
      <c r="I225" t="s">
        <v>786</v>
      </c>
      <c r="M225" s="15" t="s">
        <v>881</v>
      </c>
      <c r="N225">
        <v>3</v>
      </c>
    </row>
    <row r="226" spans="1:14">
      <c r="A226" s="15" t="s">
        <v>66</v>
      </c>
      <c r="B226" s="15" t="s">
        <v>759</v>
      </c>
      <c r="C226" s="15">
        <v>4</v>
      </c>
      <c r="D226" s="15"/>
      <c r="E226" s="15" t="s">
        <v>654</v>
      </c>
      <c r="F226" s="15" t="s">
        <v>783</v>
      </c>
      <c r="G226" s="15" t="s">
        <v>661</v>
      </c>
      <c r="H226" s="15"/>
      <c r="I226" s="15"/>
      <c r="J226" s="15" t="s">
        <v>686</v>
      </c>
      <c r="K226" s="15"/>
      <c r="L226" s="15"/>
      <c r="M226" s="15" t="s">
        <v>892</v>
      </c>
      <c r="N226" s="15">
        <v>3</v>
      </c>
    </row>
    <row r="227" spans="1:14">
      <c r="A227" t="s">
        <v>265</v>
      </c>
      <c r="B227" t="s">
        <v>759</v>
      </c>
      <c r="C227">
        <v>4</v>
      </c>
      <c r="E227" t="s">
        <v>654</v>
      </c>
      <c r="F227" t="s">
        <v>753</v>
      </c>
      <c r="G227" t="s">
        <v>747</v>
      </c>
      <c r="J227" t="s">
        <v>399</v>
      </c>
      <c r="M227" s="15" t="s">
        <v>892</v>
      </c>
      <c r="N227">
        <v>3</v>
      </c>
    </row>
    <row r="228" spans="1:14">
      <c r="A228" s="15" t="s">
        <v>435</v>
      </c>
      <c r="B228" s="15" t="s">
        <v>759</v>
      </c>
      <c r="C228" s="15">
        <v>4</v>
      </c>
      <c r="D228" s="15"/>
      <c r="E228" s="15" t="s">
        <v>654</v>
      </c>
      <c r="F228" s="15" t="s">
        <v>775</v>
      </c>
      <c r="G228" s="15" t="s">
        <v>747</v>
      </c>
      <c r="H228" s="15"/>
      <c r="I228" s="15"/>
      <c r="J228" s="15"/>
      <c r="K228" s="15"/>
      <c r="L228" s="15"/>
      <c r="M228" s="15" t="s">
        <v>880</v>
      </c>
      <c r="N228" s="15">
        <v>3</v>
      </c>
    </row>
    <row r="229" spans="1:14">
      <c r="A229" s="15" t="s">
        <v>64</v>
      </c>
      <c r="B229" s="15" t="s">
        <v>759</v>
      </c>
      <c r="C229" s="15">
        <v>4</v>
      </c>
      <c r="D229" s="15"/>
      <c r="E229" s="15" t="s">
        <v>654</v>
      </c>
      <c r="F229" s="15" t="s">
        <v>770</v>
      </c>
      <c r="G229" s="15" t="s">
        <v>771</v>
      </c>
      <c r="H229" s="15"/>
      <c r="I229" s="15"/>
      <c r="J229" s="15"/>
      <c r="K229" s="15"/>
      <c r="L229" s="15" t="s">
        <v>682</v>
      </c>
      <c r="M229" s="15" t="s">
        <v>904</v>
      </c>
      <c r="N229" s="15">
        <v>3</v>
      </c>
    </row>
    <row r="230" spans="1:14">
      <c r="A230" t="s">
        <v>67</v>
      </c>
      <c r="B230" t="s">
        <v>759</v>
      </c>
      <c r="C230">
        <v>4</v>
      </c>
      <c r="E230" t="s">
        <v>654</v>
      </c>
      <c r="F230" t="s">
        <v>784</v>
      </c>
      <c r="G230" t="s">
        <v>776</v>
      </c>
      <c r="M230" s="15" t="s">
        <v>946</v>
      </c>
      <c r="N230">
        <v>2</v>
      </c>
    </row>
    <row r="231" spans="1:14">
      <c r="A231" s="15" t="s">
        <v>562</v>
      </c>
      <c r="B231" s="15" t="s">
        <v>759</v>
      </c>
      <c r="C231" s="15">
        <v>4</v>
      </c>
      <c r="D231" s="15"/>
      <c r="E231" s="15" t="s">
        <v>697</v>
      </c>
      <c r="F231" s="15"/>
      <c r="G231" s="15"/>
      <c r="H231" s="15"/>
      <c r="I231" s="15"/>
      <c r="J231" s="15" t="s">
        <v>703</v>
      </c>
      <c r="K231" s="15"/>
      <c r="L231" s="15"/>
      <c r="M231" s="15" t="s">
        <v>904</v>
      </c>
      <c r="N231" s="15">
        <v>2</v>
      </c>
    </row>
    <row r="232" spans="1:14">
      <c r="A232" s="15" t="s">
        <v>478</v>
      </c>
      <c r="B232" s="15" t="s">
        <v>759</v>
      </c>
      <c r="C232" s="15">
        <v>4</v>
      </c>
      <c r="D232" s="15"/>
      <c r="E232" s="15" t="s">
        <v>659</v>
      </c>
      <c r="F232" s="15"/>
      <c r="G232" s="15"/>
      <c r="H232" s="15"/>
      <c r="I232" s="15"/>
      <c r="J232" s="15"/>
      <c r="K232" s="15"/>
      <c r="L232" s="15"/>
      <c r="M232" s="15" t="s">
        <v>895</v>
      </c>
      <c r="N232" s="15">
        <v>3</v>
      </c>
    </row>
    <row r="233" spans="1:14">
      <c r="A233" s="15" t="s">
        <v>396</v>
      </c>
      <c r="B233" s="15" t="s">
        <v>759</v>
      </c>
      <c r="C233" s="15">
        <v>5</v>
      </c>
      <c r="D233" s="15"/>
      <c r="E233" s="15" t="s">
        <v>654</v>
      </c>
      <c r="F233" s="15" t="s">
        <v>905</v>
      </c>
      <c r="G233" s="15"/>
      <c r="H233" s="15"/>
      <c r="I233" s="15"/>
      <c r="J233" s="15"/>
      <c r="K233" s="15"/>
      <c r="L233" s="15"/>
      <c r="M233" s="15" t="s">
        <v>661</v>
      </c>
      <c r="N233" s="15">
        <v>2</v>
      </c>
    </row>
    <row r="234" spans="1:14">
      <c r="A234" t="s">
        <v>247</v>
      </c>
      <c r="B234" t="s">
        <v>759</v>
      </c>
      <c r="C234">
        <v>5</v>
      </c>
      <c r="E234" t="s">
        <v>654</v>
      </c>
      <c r="F234" t="s">
        <v>753</v>
      </c>
      <c r="I234" t="s">
        <v>678</v>
      </c>
      <c r="J234" t="s">
        <v>733</v>
      </c>
      <c r="M234" s="15" t="s">
        <v>886</v>
      </c>
      <c r="N234">
        <v>2</v>
      </c>
    </row>
    <row r="235" spans="1:14">
      <c r="A235" s="15" t="s">
        <v>774</v>
      </c>
      <c r="B235" s="15" t="s">
        <v>759</v>
      </c>
      <c r="C235" s="15">
        <v>6</v>
      </c>
      <c r="D235" s="15" t="s">
        <v>660</v>
      </c>
      <c r="E235" s="15" t="s">
        <v>654</v>
      </c>
      <c r="F235" s="15" t="s">
        <v>661</v>
      </c>
      <c r="G235" s="15"/>
      <c r="H235" s="15"/>
      <c r="I235" s="15"/>
      <c r="J235" s="15" t="s">
        <v>790</v>
      </c>
      <c r="K235" s="15"/>
      <c r="L235" s="15"/>
      <c r="M235" s="15" t="s">
        <v>885</v>
      </c>
      <c r="N235" s="15">
        <v>3</v>
      </c>
    </row>
    <row r="236" spans="1:14">
      <c r="A236" t="s">
        <v>394</v>
      </c>
      <c r="B236" t="s">
        <v>759</v>
      </c>
      <c r="C236">
        <v>6</v>
      </c>
      <c r="E236" t="s">
        <v>654</v>
      </c>
      <c r="F236" t="s">
        <v>661</v>
      </c>
      <c r="G236" s="15"/>
      <c r="J236" t="s">
        <v>733</v>
      </c>
      <c r="M236" s="15" t="s">
        <v>889</v>
      </c>
      <c r="N236">
        <v>3</v>
      </c>
    </row>
    <row r="237" spans="1:14">
      <c r="A237" s="15" t="s">
        <v>264</v>
      </c>
      <c r="B237" s="15" t="s">
        <v>759</v>
      </c>
      <c r="C237" s="15">
        <v>7</v>
      </c>
      <c r="D237" s="15"/>
      <c r="E237" s="15" t="s">
        <v>654</v>
      </c>
      <c r="F237" s="15" t="s">
        <v>661</v>
      </c>
      <c r="G237" s="15"/>
      <c r="H237" s="15"/>
      <c r="I237" s="15" t="s">
        <v>704</v>
      </c>
      <c r="J237" s="15"/>
      <c r="K237" s="15"/>
      <c r="L237" s="15"/>
      <c r="M237" s="15" t="s">
        <v>876</v>
      </c>
      <c r="N237" s="15">
        <v>4</v>
      </c>
    </row>
    <row r="238" spans="1:14">
      <c r="A238" s="15" t="s">
        <v>63</v>
      </c>
      <c r="B238" s="15" t="s">
        <v>759</v>
      </c>
      <c r="C238" s="15">
        <v>7</v>
      </c>
      <c r="D238" s="15"/>
      <c r="E238" s="15" t="s">
        <v>654</v>
      </c>
      <c r="F238" s="15" t="s">
        <v>782</v>
      </c>
      <c r="G238" s="15"/>
      <c r="H238" s="15"/>
      <c r="I238" s="15" t="s">
        <v>704</v>
      </c>
      <c r="J238" s="15" t="s">
        <v>786</v>
      </c>
      <c r="K238" s="15"/>
      <c r="L238" s="15"/>
      <c r="M238" s="15" t="s">
        <v>889</v>
      </c>
      <c r="N238" s="15">
        <v>4</v>
      </c>
    </row>
    <row r="239" spans="1:14">
      <c r="A239" s="15" t="s">
        <v>135</v>
      </c>
      <c r="B239" s="15" t="s">
        <v>908</v>
      </c>
      <c r="C239" s="15">
        <v>2</v>
      </c>
      <c r="D239" s="15" t="s">
        <v>698</v>
      </c>
      <c r="E239" s="15" t="s">
        <v>699</v>
      </c>
      <c r="F239" s="15"/>
      <c r="G239" s="15"/>
      <c r="H239" s="15"/>
      <c r="I239" s="15"/>
      <c r="J239" s="15"/>
      <c r="K239" s="15" t="s">
        <v>477</v>
      </c>
      <c r="L239" s="15"/>
      <c r="M239" s="15" t="s">
        <v>477</v>
      </c>
      <c r="N239" s="15">
        <v>4</v>
      </c>
    </row>
    <row r="240" spans="1:14">
      <c r="A240" s="15" t="s">
        <v>186</v>
      </c>
      <c r="B240" s="15" t="s">
        <v>908</v>
      </c>
      <c r="C240" s="15">
        <v>2</v>
      </c>
      <c r="D240" s="15"/>
      <c r="E240" s="15" t="s">
        <v>659</v>
      </c>
      <c r="F240" s="15"/>
      <c r="G240" s="15"/>
      <c r="H240" s="15"/>
      <c r="I240" s="15"/>
      <c r="J240" s="15"/>
      <c r="K240" s="15"/>
      <c r="L240" s="15"/>
      <c r="M240" s="15" t="s">
        <v>878</v>
      </c>
      <c r="N240" s="15">
        <v>2</v>
      </c>
    </row>
    <row r="241" spans="1:14">
      <c r="A241" s="15" t="s">
        <v>211</v>
      </c>
      <c r="B241" s="15" t="s">
        <v>908</v>
      </c>
      <c r="C241" s="15">
        <v>3</v>
      </c>
      <c r="D241" s="15"/>
      <c r="E241" s="15" t="s">
        <v>654</v>
      </c>
      <c r="F241" s="15" t="s">
        <v>482</v>
      </c>
      <c r="G241" s="15" t="s">
        <v>795</v>
      </c>
      <c r="H241" s="15" t="s">
        <v>653</v>
      </c>
      <c r="I241" s="15"/>
      <c r="J241" s="15"/>
      <c r="K241" s="15"/>
      <c r="L241" s="15"/>
      <c r="M241" s="15" t="s">
        <v>879</v>
      </c>
      <c r="N241" s="15">
        <v>3</v>
      </c>
    </row>
    <row r="242" spans="1:14">
      <c r="A242" s="15" t="s">
        <v>330</v>
      </c>
      <c r="B242" s="15" t="s">
        <v>908</v>
      </c>
      <c r="C242" s="15">
        <v>3</v>
      </c>
      <c r="D242" s="15"/>
      <c r="E242" s="15" t="s">
        <v>654</v>
      </c>
      <c r="F242" s="15" t="s">
        <v>799</v>
      </c>
      <c r="G242" s="15" t="s">
        <v>712</v>
      </c>
      <c r="H242" s="15"/>
      <c r="I242" s="15"/>
      <c r="J242" s="15"/>
      <c r="K242" s="15"/>
      <c r="L242" s="15"/>
      <c r="M242" s="15" t="s">
        <v>882</v>
      </c>
      <c r="N242" s="15">
        <v>2</v>
      </c>
    </row>
    <row r="243" spans="1:14">
      <c r="A243" s="15" t="s">
        <v>613</v>
      </c>
      <c r="B243" s="15" t="s">
        <v>908</v>
      </c>
      <c r="C243" s="15">
        <v>3</v>
      </c>
      <c r="D243" s="15"/>
      <c r="E243" s="15" t="s">
        <v>654</v>
      </c>
      <c r="F243" s="15" t="s">
        <v>831</v>
      </c>
      <c r="G243" s="15" t="s">
        <v>736</v>
      </c>
      <c r="H243" s="15" t="s">
        <v>653</v>
      </c>
      <c r="I243" s="15"/>
      <c r="J243" s="15"/>
      <c r="K243" s="15"/>
      <c r="L243" s="15"/>
      <c r="M243" s="15" t="s">
        <v>954</v>
      </c>
      <c r="N243" s="15">
        <v>2</v>
      </c>
    </row>
    <row r="244" spans="1:14">
      <c r="A244" s="15" t="s">
        <v>219</v>
      </c>
      <c r="B244" s="15" t="s">
        <v>908</v>
      </c>
      <c r="C244" s="15">
        <v>3</v>
      </c>
      <c r="D244" s="15"/>
      <c r="E244" s="15" t="s">
        <v>697</v>
      </c>
      <c r="F244" s="15"/>
      <c r="G244" s="15"/>
      <c r="H244" s="15"/>
      <c r="I244" s="15"/>
      <c r="J244" s="15"/>
      <c r="K244" s="15" t="s">
        <v>477</v>
      </c>
      <c r="L244" s="15"/>
      <c r="M244" s="15" t="s">
        <v>477</v>
      </c>
      <c r="N244" s="15">
        <v>3</v>
      </c>
    </row>
    <row r="245" spans="1:14">
      <c r="A245" s="15" t="s">
        <v>225</v>
      </c>
      <c r="B245" s="15" t="s">
        <v>908</v>
      </c>
      <c r="C245" s="15">
        <v>3</v>
      </c>
      <c r="D245" s="15"/>
      <c r="E245" s="15" t="s">
        <v>697</v>
      </c>
      <c r="F245" s="15"/>
      <c r="G245" s="15"/>
      <c r="H245" s="15"/>
      <c r="I245" s="15"/>
      <c r="J245" s="15"/>
      <c r="K245" s="15" t="s">
        <v>477</v>
      </c>
      <c r="L245" s="15"/>
      <c r="M245" s="15" t="s">
        <v>477</v>
      </c>
      <c r="N245" s="15">
        <v>3</v>
      </c>
    </row>
    <row r="246" spans="1:14">
      <c r="A246" t="s">
        <v>294</v>
      </c>
      <c r="B246" t="s">
        <v>908</v>
      </c>
      <c r="C246">
        <v>4</v>
      </c>
      <c r="E246" t="s">
        <v>654</v>
      </c>
      <c r="F246" t="s">
        <v>798</v>
      </c>
      <c r="M246" s="15" t="s">
        <v>955</v>
      </c>
      <c r="N246">
        <v>2</v>
      </c>
    </row>
    <row r="247" spans="1:14">
      <c r="A247" s="15" t="s">
        <v>487</v>
      </c>
      <c r="B247" s="15" t="s">
        <v>908</v>
      </c>
      <c r="C247" s="15">
        <v>5</v>
      </c>
      <c r="D247" s="15"/>
      <c r="E247" s="15" t="s">
        <v>654</v>
      </c>
      <c r="F247" s="15" t="s">
        <v>763</v>
      </c>
      <c r="G247" s="15" t="s">
        <v>736</v>
      </c>
      <c r="H247" s="15"/>
      <c r="I247" s="15" t="s">
        <v>790</v>
      </c>
      <c r="J247" s="15" t="s">
        <v>804</v>
      </c>
      <c r="K247" s="15"/>
      <c r="L247" s="15"/>
      <c r="M247" s="15" t="s">
        <v>882</v>
      </c>
      <c r="N247" s="15">
        <v>2</v>
      </c>
    </row>
    <row r="248" spans="1:14">
      <c r="A248" s="15" t="s">
        <v>277</v>
      </c>
      <c r="B248" s="15" t="s">
        <v>758</v>
      </c>
      <c r="C248" s="15">
        <v>1</v>
      </c>
      <c r="D248" s="15"/>
      <c r="E248" s="15" t="s">
        <v>654</v>
      </c>
      <c r="F248" s="15" t="s">
        <v>762</v>
      </c>
      <c r="G248" s="15"/>
      <c r="H248" s="15"/>
      <c r="I248" s="15"/>
      <c r="J248" s="15"/>
      <c r="K248" s="15"/>
      <c r="L248" s="15"/>
      <c r="M248" s="15" t="s">
        <v>882</v>
      </c>
      <c r="N248" s="15">
        <v>3</v>
      </c>
    </row>
    <row r="249" spans="1:14">
      <c r="A249" t="s">
        <v>537</v>
      </c>
      <c r="B249" t="s">
        <v>758</v>
      </c>
      <c r="C249">
        <v>1</v>
      </c>
      <c r="E249" t="s">
        <v>654</v>
      </c>
      <c r="F249" t="s">
        <v>780</v>
      </c>
      <c r="M249" s="15" t="s">
        <v>882</v>
      </c>
      <c r="N249">
        <v>3</v>
      </c>
    </row>
    <row r="250" spans="1:14">
      <c r="A250" t="s">
        <v>119</v>
      </c>
      <c r="B250" t="s">
        <v>758</v>
      </c>
      <c r="C250">
        <v>1</v>
      </c>
      <c r="E250" t="s">
        <v>654</v>
      </c>
      <c r="F250" t="s">
        <v>763</v>
      </c>
      <c r="L250" t="s">
        <v>682</v>
      </c>
      <c r="M250" s="15" t="s">
        <v>899</v>
      </c>
      <c r="N250">
        <v>3</v>
      </c>
    </row>
    <row r="251" spans="1:14">
      <c r="A251" t="s">
        <v>606</v>
      </c>
      <c r="B251" t="s">
        <v>758</v>
      </c>
      <c r="C251">
        <v>1</v>
      </c>
      <c r="E251" t="s">
        <v>654</v>
      </c>
      <c r="F251" t="s">
        <v>763</v>
      </c>
      <c r="G251" t="s">
        <v>736</v>
      </c>
      <c r="M251" s="15" t="s">
        <v>899</v>
      </c>
      <c r="N251">
        <v>3</v>
      </c>
    </row>
    <row r="252" spans="1:14">
      <c r="A252" t="s">
        <v>761</v>
      </c>
      <c r="B252" t="s">
        <v>758</v>
      </c>
      <c r="C252">
        <v>1</v>
      </c>
      <c r="E252" t="s">
        <v>654</v>
      </c>
      <c r="F252" t="s">
        <v>763</v>
      </c>
      <c r="G252" t="s">
        <v>736</v>
      </c>
      <c r="J252" t="s">
        <v>686</v>
      </c>
      <c r="M252" s="15" t="s">
        <v>948</v>
      </c>
      <c r="N252">
        <v>2</v>
      </c>
    </row>
    <row r="253" spans="1:14">
      <c r="A253" s="15" t="s">
        <v>50</v>
      </c>
      <c r="B253" s="15" t="s">
        <v>758</v>
      </c>
      <c r="C253" s="15">
        <v>1</v>
      </c>
      <c r="D253" s="15"/>
      <c r="E253" s="15" t="s">
        <v>697</v>
      </c>
      <c r="F253" s="15"/>
      <c r="G253" s="15"/>
      <c r="H253" s="15"/>
      <c r="I253" s="15"/>
      <c r="J253" s="15"/>
      <c r="K253" s="15" t="s">
        <v>477</v>
      </c>
      <c r="L253" s="15"/>
      <c r="M253" s="15" t="s">
        <v>898</v>
      </c>
      <c r="N253" s="15">
        <v>4</v>
      </c>
    </row>
    <row r="254" spans="1:14">
      <c r="A254" s="15" t="s">
        <v>47</v>
      </c>
      <c r="B254" s="15" t="s">
        <v>758</v>
      </c>
      <c r="C254" s="15">
        <v>1</v>
      </c>
      <c r="D254" s="15"/>
      <c r="E254" s="15" t="s">
        <v>697</v>
      </c>
      <c r="F254" s="15"/>
      <c r="G254" s="15"/>
      <c r="H254" s="15"/>
      <c r="I254" s="15"/>
      <c r="J254" s="15" t="s">
        <v>686</v>
      </c>
      <c r="K254" s="15" t="s">
        <v>477</v>
      </c>
      <c r="L254" s="15"/>
      <c r="M254" s="15" t="s">
        <v>898</v>
      </c>
      <c r="N254" s="15">
        <v>4</v>
      </c>
    </row>
    <row r="255" spans="1:14">
      <c r="A255" s="15" t="s">
        <v>118</v>
      </c>
      <c r="B255" s="15" t="s">
        <v>758</v>
      </c>
      <c r="C255" s="15">
        <v>1</v>
      </c>
      <c r="D255" s="15"/>
      <c r="E255" s="15" t="s">
        <v>659</v>
      </c>
      <c r="F255" s="15"/>
      <c r="G255" s="15"/>
      <c r="H255" s="15"/>
      <c r="I255" s="15"/>
      <c r="J255" s="15" t="s">
        <v>703</v>
      </c>
      <c r="K255" s="15" t="s">
        <v>477</v>
      </c>
      <c r="L255" s="15"/>
      <c r="M255" s="15" t="s">
        <v>898</v>
      </c>
      <c r="N255" s="15">
        <v>4</v>
      </c>
    </row>
    <row r="256" spans="1:14">
      <c r="A256" s="15" t="s">
        <v>389</v>
      </c>
      <c r="B256" s="15" t="s">
        <v>758</v>
      </c>
      <c r="C256" s="15">
        <v>1</v>
      </c>
      <c r="D256" s="15"/>
      <c r="E256" s="15" t="s">
        <v>659</v>
      </c>
      <c r="F256" s="15"/>
      <c r="G256" s="15"/>
      <c r="H256" s="15"/>
      <c r="I256" s="15"/>
      <c r="J256" s="15"/>
      <c r="K256" s="15" t="s">
        <v>477</v>
      </c>
      <c r="L256" s="15"/>
      <c r="M256" s="15" t="s">
        <v>898</v>
      </c>
      <c r="N256" s="15">
        <v>4</v>
      </c>
    </row>
    <row r="257" spans="1:14">
      <c r="A257" s="15" t="s">
        <v>476</v>
      </c>
      <c r="B257" s="15" t="s">
        <v>758</v>
      </c>
      <c r="C257" s="15">
        <v>1</v>
      </c>
      <c r="D257" s="15"/>
      <c r="E257" s="15" t="s">
        <v>659</v>
      </c>
      <c r="F257" s="15"/>
      <c r="G257" s="15"/>
      <c r="H257" s="15"/>
      <c r="I257" s="15"/>
      <c r="J257" s="15" t="s">
        <v>703</v>
      </c>
      <c r="K257" s="15"/>
      <c r="L257" s="15"/>
      <c r="M257" s="15" t="s">
        <v>882</v>
      </c>
      <c r="N257" s="15">
        <v>3</v>
      </c>
    </row>
    <row r="258" spans="1:14">
      <c r="A258" s="15" t="s">
        <v>158</v>
      </c>
      <c r="B258" s="15" t="s">
        <v>758</v>
      </c>
      <c r="C258" s="15">
        <v>1</v>
      </c>
      <c r="D258" s="15" t="s">
        <v>698</v>
      </c>
      <c r="E258" s="15"/>
      <c r="F258" s="15"/>
      <c r="G258" s="15"/>
      <c r="H258" s="15"/>
      <c r="I258" s="15"/>
      <c r="J258" s="15"/>
      <c r="K258" s="15" t="s">
        <v>477</v>
      </c>
      <c r="L258" s="15" t="s">
        <v>682</v>
      </c>
      <c r="M258" s="15" t="s">
        <v>898</v>
      </c>
      <c r="N258" s="15">
        <v>4</v>
      </c>
    </row>
    <row r="259" spans="1:14">
      <c r="A259" s="15" t="s">
        <v>432</v>
      </c>
      <c r="B259" s="15" t="s">
        <v>758</v>
      </c>
      <c r="C259" s="15">
        <v>2</v>
      </c>
      <c r="D259" s="15"/>
      <c r="E259" s="15" t="s">
        <v>654</v>
      </c>
      <c r="F259" s="15" t="s">
        <v>482</v>
      </c>
      <c r="G259" s="15" t="s">
        <v>736</v>
      </c>
      <c r="H259" s="15"/>
      <c r="I259" s="15"/>
      <c r="J259" s="15" t="s">
        <v>691</v>
      </c>
      <c r="K259" s="15"/>
      <c r="L259" s="15" t="s">
        <v>682</v>
      </c>
      <c r="M259" s="15" t="s">
        <v>882</v>
      </c>
      <c r="N259" s="15">
        <v>4</v>
      </c>
    </row>
    <row r="260" spans="1:14">
      <c r="A260" s="15" t="s">
        <v>52</v>
      </c>
      <c r="B260" s="15" t="s">
        <v>758</v>
      </c>
      <c r="C260" s="15">
        <v>2</v>
      </c>
      <c r="D260" s="15"/>
      <c r="E260" s="15" t="s">
        <v>654</v>
      </c>
      <c r="F260" s="15" t="s">
        <v>753</v>
      </c>
      <c r="G260" s="15"/>
      <c r="H260" s="15"/>
      <c r="I260" s="15" t="s">
        <v>668</v>
      </c>
      <c r="J260" s="15" t="s">
        <v>669</v>
      </c>
      <c r="K260" s="15"/>
      <c r="L260" s="15"/>
      <c r="M260" s="15" t="s">
        <v>882</v>
      </c>
      <c r="N260" s="15">
        <v>3</v>
      </c>
    </row>
    <row r="261" spans="1:14">
      <c r="A261" s="15" t="s">
        <v>386</v>
      </c>
      <c r="B261" s="15" t="s">
        <v>758</v>
      </c>
      <c r="C261" s="15">
        <v>2</v>
      </c>
      <c r="D261" s="15"/>
      <c r="E261" s="15" t="s">
        <v>654</v>
      </c>
      <c r="F261" s="15" t="s">
        <v>676</v>
      </c>
      <c r="G261" s="15"/>
      <c r="H261" s="15"/>
      <c r="I261" s="15"/>
      <c r="J261" s="15"/>
      <c r="K261" s="15"/>
      <c r="L261" s="15" t="s">
        <v>682</v>
      </c>
      <c r="M261" s="15" t="s">
        <v>896</v>
      </c>
      <c r="N261" s="15">
        <v>3</v>
      </c>
    </row>
    <row r="262" spans="1:14">
      <c r="A262" s="15" t="s">
        <v>507</v>
      </c>
      <c r="B262" s="15" t="s">
        <v>758</v>
      </c>
      <c r="C262" s="15">
        <v>2</v>
      </c>
      <c r="D262" s="15"/>
      <c r="E262" s="15" t="s">
        <v>654</v>
      </c>
      <c r="F262" s="15" t="s">
        <v>763</v>
      </c>
      <c r="G262" s="15" t="s">
        <v>712</v>
      </c>
      <c r="H262" s="15"/>
      <c r="I262" s="15"/>
      <c r="J262" s="15"/>
      <c r="K262" s="15"/>
      <c r="L262" s="15"/>
      <c r="M262" s="15" t="s">
        <v>896</v>
      </c>
      <c r="N262" s="15">
        <v>3</v>
      </c>
    </row>
    <row r="263" spans="1:14">
      <c r="A263" s="15" t="s">
        <v>370</v>
      </c>
      <c r="B263" s="15" t="s">
        <v>758</v>
      </c>
      <c r="C263" s="15">
        <v>2</v>
      </c>
      <c r="D263" s="15"/>
      <c r="E263" s="15" t="s">
        <v>654</v>
      </c>
      <c r="F263" s="15" t="s">
        <v>482</v>
      </c>
      <c r="G263" s="15" t="s">
        <v>684</v>
      </c>
      <c r="H263" s="15"/>
      <c r="I263" s="15"/>
      <c r="J263" s="15"/>
      <c r="K263" s="15" t="s">
        <v>477</v>
      </c>
      <c r="L263" s="15"/>
      <c r="M263" s="15" t="s">
        <v>899</v>
      </c>
      <c r="N263" s="15">
        <v>3</v>
      </c>
    </row>
    <row r="264" spans="1:14">
      <c r="A264" s="15" t="s">
        <v>346</v>
      </c>
      <c r="B264" s="15" t="s">
        <v>758</v>
      </c>
      <c r="C264" s="15">
        <v>2</v>
      </c>
      <c r="D264" s="15"/>
      <c r="E264" s="15" t="s">
        <v>654</v>
      </c>
      <c r="F264" s="15" t="s">
        <v>763</v>
      </c>
      <c r="G264" s="15" t="s">
        <v>736</v>
      </c>
      <c r="H264" s="15"/>
      <c r="I264" s="15"/>
      <c r="J264" s="15" t="s">
        <v>764</v>
      </c>
      <c r="K264" s="15"/>
      <c r="L264" s="15" t="s">
        <v>682</v>
      </c>
      <c r="M264" s="15" t="s">
        <v>904</v>
      </c>
      <c r="N264" s="15">
        <v>3</v>
      </c>
    </row>
    <row r="265" spans="1:14">
      <c r="A265" s="15" t="s">
        <v>628</v>
      </c>
      <c r="B265" s="15" t="s">
        <v>758</v>
      </c>
      <c r="C265" s="15">
        <v>2</v>
      </c>
      <c r="D265" s="15"/>
      <c r="E265" s="15" t="s">
        <v>654</v>
      </c>
      <c r="F265" s="15" t="s">
        <v>484</v>
      </c>
      <c r="G265" s="15"/>
      <c r="H265" s="15"/>
      <c r="I265" s="15"/>
      <c r="J265" s="15"/>
      <c r="K265" s="15"/>
      <c r="L265" s="15"/>
      <c r="M265" s="15" t="s">
        <v>882</v>
      </c>
      <c r="N265" s="15">
        <v>2</v>
      </c>
    </row>
    <row r="266" spans="1:14">
      <c r="A266" s="20" t="s">
        <v>923</v>
      </c>
      <c r="B266" s="20" t="s">
        <v>758</v>
      </c>
      <c r="C266" s="20">
        <v>2</v>
      </c>
      <c r="D266" s="20"/>
      <c r="E266" s="20" t="s">
        <v>654</v>
      </c>
      <c r="F266" s="20" t="s">
        <v>482</v>
      </c>
      <c r="G266" s="20" t="s">
        <v>906</v>
      </c>
      <c r="H266" s="20"/>
      <c r="I266" s="20" t="s">
        <v>668</v>
      </c>
      <c r="J266" s="20" t="s">
        <v>924</v>
      </c>
      <c r="K266" s="20"/>
      <c r="L266" s="20"/>
      <c r="M266" s="20" t="s">
        <v>882</v>
      </c>
      <c r="N266" s="20">
        <v>2</v>
      </c>
    </row>
    <row r="267" spans="1:14">
      <c r="A267" s="15" t="s">
        <v>485</v>
      </c>
      <c r="B267" s="15" t="s">
        <v>758</v>
      </c>
      <c r="C267" s="15">
        <v>2</v>
      </c>
      <c r="D267" s="15"/>
      <c r="E267" s="15" t="s">
        <v>654</v>
      </c>
      <c r="F267" s="15" t="s">
        <v>763</v>
      </c>
      <c r="G267" s="15" t="s">
        <v>747</v>
      </c>
      <c r="H267" s="15"/>
      <c r="I267" s="15"/>
      <c r="J267" s="15"/>
      <c r="K267" s="15"/>
      <c r="L267" s="15" t="s">
        <v>682</v>
      </c>
      <c r="M267" s="15" t="s">
        <v>899</v>
      </c>
      <c r="N267" s="15">
        <v>2</v>
      </c>
    </row>
    <row r="268" spans="1:14">
      <c r="A268" s="15" t="s">
        <v>266</v>
      </c>
      <c r="B268" s="15" t="s">
        <v>758</v>
      </c>
      <c r="C268" s="15">
        <v>2</v>
      </c>
      <c r="D268" s="15"/>
      <c r="E268" s="15" t="s">
        <v>654</v>
      </c>
      <c r="F268" s="15" t="s">
        <v>763</v>
      </c>
      <c r="G268" s="15"/>
      <c r="H268" s="15"/>
      <c r="I268" s="15"/>
      <c r="J268" s="15" t="s">
        <v>399</v>
      </c>
      <c r="K268" s="15" t="s">
        <v>477</v>
      </c>
      <c r="L268" s="15"/>
      <c r="M268" s="15" t="s">
        <v>879</v>
      </c>
      <c r="N268" s="15">
        <v>2</v>
      </c>
    </row>
    <row r="269" spans="1:14">
      <c r="A269" s="15" t="s">
        <v>54</v>
      </c>
      <c r="B269" s="15" t="s">
        <v>758</v>
      </c>
      <c r="C269" s="15">
        <v>2</v>
      </c>
      <c r="D269" s="15"/>
      <c r="E269" s="15" t="s">
        <v>697</v>
      </c>
      <c r="F269" s="15"/>
      <c r="G269" s="15"/>
      <c r="H269" s="15"/>
      <c r="I269" s="15"/>
      <c r="J269" s="15" t="s">
        <v>669</v>
      </c>
      <c r="K269" s="15" t="s">
        <v>477</v>
      </c>
      <c r="L269" s="15"/>
      <c r="M269" s="15" t="s">
        <v>898</v>
      </c>
      <c r="N269" s="15">
        <v>4</v>
      </c>
    </row>
    <row r="270" spans="1:14">
      <c r="A270" s="15" t="s">
        <v>171</v>
      </c>
      <c r="B270" s="15" t="s">
        <v>758</v>
      </c>
      <c r="C270" s="15">
        <v>2</v>
      </c>
      <c r="D270" s="15"/>
      <c r="E270" s="15" t="s">
        <v>697</v>
      </c>
      <c r="F270" s="15"/>
      <c r="G270" s="15"/>
      <c r="H270" s="15"/>
      <c r="I270" s="15"/>
      <c r="J270" s="15"/>
      <c r="K270" s="15" t="s">
        <v>477</v>
      </c>
      <c r="L270" s="15"/>
      <c r="M270" s="15" t="s">
        <v>898</v>
      </c>
      <c r="N270" s="15">
        <v>3</v>
      </c>
    </row>
    <row r="271" spans="1:14">
      <c r="A271" s="15" t="s">
        <v>174</v>
      </c>
      <c r="B271" s="15" t="s">
        <v>758</v>
      </c>
      <c r="C271" s="15">
        <v>2</v>
      </c>
      <c r="D271" s="15"/>
      <c r="E271" s="15" t="s">
        <v>697</v>
      </c>
      <c r="F271" s="15"/>
      <c r="G271" s="15"/>
      <c r="H271" s="15"/>
      <c r="I271" s="15"/>
      <c r="J271" s="15"/>
      <c r="K271" s="15" t="s">
        <v>477</v>
      </c>
      <c r="L271" s="15"/>
      <c r="M271" s="15" t="s">
        <v>898</v>
      </c>
      <c r="N271" s="15">
        <v>2</v>
      </c>
    </row>
    <row r="272" spans="1:14">
      <c r="A272" t="s">
        <v>201</v>
      </c>
      <c r="B272" t="s">
        <v>758</v>
      </c>
      <c r="C272">
        <v>3</v>
      </c>
      <c r="D272" t="s">
        <v>698</v>
      </c>
      <c r="E272" t="s">
        <v>699</v>
      </c>
      <c r="K272" t="s">
        <v>477</v>
      </c>
      <c r="M272" s="15" t="s">
        <v>898</v>
      </c>
      <c r="N272">
        <v>2</v>
      </c>
    </row>
    <row r="273" spans="1:14">
      <c r="A273" t="s">
        <v>594</v>
      </c>
      <c r="B273" t="s">
        <v>758</v>
      </c>
      <c r="C273">
        <v>3</v>
      </c>
      <c r="E273" t="s">
        <v>654</v>
      </c>
      <c r="F273" t="s">
        <v>752</v>
      </c>
      <c r="G273" t="s">
        <v>736</v>
      </c>
      <c r="I273" t="s">
        <v>668</v>
      </c>
      <c r="J273" t="s">
        <v>767</v>
      </c>
      <c r="M273" s="15" t="s">
        <v>882</v>
      </c>
      <c r="N273">
        <v>4</v>
      </c>
    </row>
    <row r="274" spans="1:14">
      <c r="A274" s="15" t="s">
        <v>765</v>
      </c>
      <c r="B274" s="15" t="s">
        <v>758</v>
      </c>
      <c r="C274" s="15">
        <v>3</v>
      </c>
      <c r="D274" s="15"/>
      <c r="E274" s="15" t="s">
        <v>654</v>
      </c>
      <c r="F274" s="15" t="s">
        <v>728</v>
      </c>
      <c r="G274" s="15" t="s">
        <v>747</v>
      </c>
      <c r="H274" s="15"/>
      <c r="I274" s="15"/>
      <c r="J274" s="15" t="s">
        <v>732</v>
      </c>
      <c r="K274" s="15"/>
      <c r="L274" s="15" t="s">
        <v>682</v>
      </c>
      <c r="M274" s="15" t="s">
        <v>882</v>
      </c>
      <c r="N274" s="15">
        <v>3</v>
      </c>
    </row>
    <row r="275" spans="1:14">
      <c r="A275" s="15" t="s">
        <v>559</v>
      </c>
      <c r="B275" s="15" t="s">
        <v>758</v>
      </c>
      <c r="C275" s="15">
        <v>3</v>
      </c>
      <c r="D275" s="15"/>
      <c r="E275" s="15" t="s">
        <v>654</v>
      </c>
      <c r="F275" s="15" t="s">
        <v>661</v>
      </c>
      <c r="G275" s="15"/>
      <c r="H275" s="15"/>
      <c r="I275" s="15"/>
      <c r="J275" s="15"/>
      <c r="K275" s="15"/>
      <c r="L275" s="15"/>
      <c r="M275" s="15" t="s">
        <v>882</v>
      </c>
      <c r="N275" s="15">
        <v>3</v>
      </c>
    </row>
    <row r="276" spans="1:14">
      <c r="A276" t="s">
        <v>303</v>
      </c>
      <c r="B276" t="s">
        <v>758</v>
      </c>
      <c r="C276">
        <v>3</v>
      </c>
      <c r="E276" t="s">
        <v>654</v>
      </c>
      <c r="F276" t="s">
        <v>482</v>
      </c>
      <c r="G276" t="s">
        <v>736</v>
      </c>
      <c r="M276" s="15" t="s">
        <v>896</v>
      </c>
      <c r="N276">
        <v>3</v>
      </c>
    </row>
    <row r="277" spans="1:14">
      <c r="A277" t="s">
        <v>220</v>
      </c>
      <c r="B277" t="s">
        <v>758</v>
      </c>
      <c r="C277">
        <v>3</v>
      </c>
      <c r="E277" t="s">
        <v>654</v>
      </c>
      <c r="F277" t="s">
        <v>763</v>
      </c>
      <c r="G277" t="s">
        <v>747</v>
      </c>
      <c r="K277" t="s">
        <v>477</v>
      </c>
      <c r="M277" s="15" t="s">
        <v>899</v>
      </c>
      <c r="N277">
        <v>3</v>
      </c>
    </row>
    <row r="278" spans="1:14">
      <c r="A278" t="s">
        <v>272</v>
      </c>
      <c r="B278" t="s">
        <v>758</v>
      </c>
      <c r="C278">
        <v>3</v>
      </c>
      <c r="E278" t="s">
        <v>654</v>
      </c>
      <c r="F278" t="s">
        <v>482</v>
      </c>
      <c r="G278" t="s">
        <v>766</v>
      </c>
      <c r="J278" t="s">
        <v>764</v>
      </c>
      <c r="K278" t="s">
        <v>477</v>
      </c>
      <c r="L278" t="s">
        <v>682</v>
      </c>
      <c r="M278" s="15" t="s">
        <v>879</v>
      </c>
      <c r="N278">
        <v>3</v>
      </c>
    </row>
    <row r="279" spans="1:14">
      <c r="A279" s="15" t="s">
        <v>917</v>
      </c>
      <c r="B279" s="15" t="s">
        <v>758</v>
      </c>
      <c r="C279" s="15">
        <v>3</v>
      </c>
      <c r="D279" s="15"/>
      <c r="E279" s="15" t="s">
        <v>654</v>
      </c>
      <c r="F279" s="15" t="s">
        <v>484</v>
      </c>
      <c r="G279" s="15"/>
      <c r="H279" s="15"/>
      <c r="I279" s="15"/>
      <c r="J279" s="15"/>
      <c r="K279" s="15"/>
      <c r="L279" s="15"/>
      <c r="M279" s="15" t="s">
        <v>882</v>
      </c>
      <c r="N279" s="15">
        <v>2</v>
      </c>
    </row>
    <row r="280" spans="1:14">
      <c r="A280" s="15" t="s">
        <v>535</v>
      </c>
      <c r="B280" s="15" t="s">
        <v>758</v>
      </c>
      <c r="C280" s="15">
        <v>3</v>
      </c>
      <c r="D280" s="15"/>
      <c r="E280" s="15" t="s">
        <v>654</v>
      </c>
      <c r="F280" s="15" t="s">
        <v>482</v>
      </c>
      <c r="G280" s="15" t="s">
        <v>712</v>
      </c>
      <c r="H280" s="15"/>
      <c r="I280" s="15"/>
      <c r="J280" s="15" t="s">
        <v>764</v>
      </c>
      <c r="K280" s="15"/>
      <c r="L280" s="15" t="s">
        <v>682</v>
      </c>
      <c r="M280" s="15" t="s">
        <v>896</v>
      </c>
      <c r="N280" s="15">
        <v>2</v>
      </c>
    </row>
    <row r="281" spans="1:14">
      <c r="A281" s="15" t="s">
        <v>56</v>
      </c>
      <c r="B281" s="15" t="s">
        <v>758</v>
      </c>
      <c r="C281" s="15">
        <v>3</v>
      </c>
      <c r="D281" s="15"/>
      <c r="E281" s="15" t="s">
        <v>654</v>
      </c>
      <c r="F281" s="15" t="s">
        <v>482</v>
      </c>
      <c r="G281" s="15" t="s">
        <v>747</v>
      </c>
      <c r="H281" s="15"/>
      <c r="I281" s="15"/>
      <c r="J281" s="15" t="s">
        <v>284</v>
      </c>
      <c r="K281" s="15"/>
      <c r="L281" s="15"/>
      <c r="M281" s="15" t="s">
        <v>899</v>
      </c>
      <c r="N281" s="15">
        <v>2</v>
      </c>
    </row>
    <row r="282" spans="1:14">
      <c r="A282" s="15" t="s">
        <v>116</v>
      </c>
      <c r="B282" s="15" t="s">
        <v>758</v>
      </c>
      <c r="C282" s="15">
        <v>3</v>
      </c>
      <c r="D282" s="15"/>
      <c r="E282" s="15" t="s">
        <v>697</v>
      </c>
      <c r="F282" s="15"/>
      <c r="G282" s="15"/>
      <c r="H282" s="15"/>
      <c r="I282" s="15"/>
      <c r="J282" s="15" t="s">
        <v>520</v>
      </c>
      <c r="K282" s="15" t="s">
        <v>477</v>
      </c>
      <c r="L282" s="15"/>
      <c r="M282" s="15" t="s">
        <v>898</v>
      </c>
      <c r="N282" s="15">
        <v>4</v>
      </c>
    </row>
    <row r="283" spans="1:14">
      <c r="A283" t="s">
        <v>55</v>
      </c>
      <c r="B283" t="s">
        <v>758</v>
      </c>
      <c r="C283">
        <v>3</v>
      </c>
      <c r="E283" t="s">
        <v>697</v>
      </c>
      <c r="I283" t="s">
        <v>768</v>
      </c>
      <c r="K283" t="s">
        <v>477</v>
      </c>
      <c r="M283" s="15" t="s">
        <v>898</v>
      </c>
      <c r="N283">
        <v>4</v>
      </c>
    </row>
    <row r="284" spans="1:14">
      <c r="A284" s="20" t="s">
        <v>910</v>
      </c>
      <c r="B284" s="20" t="s">
        <v>758</v>
      </c>
      <c r="C284" s="20">
        <v>3</v>
      </c>
      <c r="D284" s="20"/>
      <c r="E284" s="20" t="s">
        <v>697</v>
      </c>
      <c r="F284" s="20"/>
      <c r="G284" s="20"/>
      <c r="H284" s="20"/>
      <c r="I284" s="20"/>
      <c r="J284" s="20"/>
      <c r="K284" s="20" t="s">
        <v>477</v>
      </c>
      <c r="L284" s="20"/>
      <c r="M284" s="20" t="s">
        <v>898</v>
      </c>
      <c r="N284" s="20">
        <v>4</v>
      </c>
    </row>
    <row r="285" spans="1:14">
      <c r="A285" s="15" t="s">
        <v>501</v>
      </c>
      <c r="B285" s="15" t="s">
        <v>758</v>
      </c>
      <c r="C285" s="15">
        <v>3</v>
      </c>
      <c r="D285" s="15"/>
      <c r="E285" s="15" t="s">
        <v>697</v>
      </c>
      <c r="F285" s="15"/>
      <c r="G285" s="15"/>
      <c r="H285" s="15"/>
      <c r="I285" s="15" t="s">
        <v>519</v>
      </c>
      <c r="J285" s="15"/>
      <c r="K285" s="15" t="s">
        <v>477</v>
      </c>
      <c r="L285" s="15"/>
      <c r="M285" s="15" t="s">
        <v>898</v>
      </c>
      <c r="N285" s="15">
        <v>3</v>
      </c>
    </row>
    <row r="286" spans="1:14">
      <c r="A286" s="15" t="s">
        <v>353</v>
      </c>
      <c r="B286" s="15" t="s">
        <v>758</v>
      </c>
      <c r="C286" s="15">
        <v>3</v>
      </c>
      <c r="D286" s="15"/>
      <c r="E286" s="15" t="s">
        <v>659</v>
      </c>
      <c r="F286" s="15"/>
      <c r="G286" s="15"/>
      <c r="H286" s="15"/>
      <c r="I286" s="15"/>
      <c r="J286" s="15"/>
      <c r="K286" s="15" t="s">
        <v>477</v>
      </c>
      <c r="L286" s="15"/>
      <c r="M286" s="15" t="s">
        <v>898</v>
      </c>
      <c r="N286" s="15">
        <v>4</v>
      </c>
    </row>
    <row r="287" spans="1:14">
      <c r="A287" s="15" t="s">
        <v>474</v>
      </c>
      <c r="B287" t="s">
        <v>758</v>
      </c>
      <c r="C287">
        <v>3</v>
      </c>
      <c r="E287" t="s">
        <v>659</v>
      </c>
      <c r="F287" s="15"/>
      <c r="M287" s="15" t="s">
        <v>895</v>
      </c>
      <c r="N287">
        <v>3</v>
      </c>
    </row>
    <row r="288" spans="1:14">
      <c r="A288" t="s">
        <v>618</v>
      </c>
      <c r="B288" t="s">
        <v>758</v>
      </c>
      <c r="C288">
        <v>4</v>
      </c>
      <c r="E288" t="s">
        <v>654</v>
      </c>
      <c r="F288" t="s">
        <v>769</v>
      </c>
      <c r="G288" t="s">
        <v>736</v>
      </c>
      <c r="J288" t="s">
        <v>767</v>
      </c>
      <c r="M288" s="15" t="s">
        <v>882</v>
      </c>
      <c r="N288">
        <v>3</v>
      </c>
    </row>
    <row r="289" spans="1:14">
      <c r="A289" t="s">
        <v>322</v>
      </c>
      <c r="B289" t="s">
        <v>758</v>
      </c>
      <c r="C289">
        <v>4</v>
      </c>
      <c r="E289" t="s">
        <v>654</v>
      </c>
      <c r="F289" t="s">
        <v>752</v>
      </c>
      <c r="I289" t="s">
        <v>751</v>
      </c>
      <c r="J289" t="s">
        <v>764</v>
      </c>
      <c r="M289" s="15" t="s">
        <v>882</v>
      </c>
      <c r="N289">
        <v>3</v>
      </c>
    </row>
    <row r="290" spans="1:14">
      <c r="A290" s="15" t="s">
        <v>46</v>
      </c>
      <c r="B290" s="15" t="s">
        <v>758</v>
      </c>
      <c r="C290" s="15">
        <v>4</v>
      </c>
      <c r="D290" s="15"/>
      <c r="E290" s="15" t="s">
        <v>654</v>
      </c>
      <c r="F290" s="15" t="s">
        <v>763</v>
      </c>
      <c r="G290" s="15" t="s">
        <v>747</v>
      </c>
      <c r="H290" s="15"/>
      <c r="I290" s="15"/>
      <c r="J290" s="15"/>
      <c r="K290" s="15"/>
      <c r="L290" s="15"/>
      <c r="M290" s="15" t="s">
        <v>882</v>
      </c>
      <c r="N290" s="15">
        <v>2</v>
      </c>
    </row>
    <row r="291" spans="1:14">
      <c r="A291" s="15" t="s">
        <v>511</v>
      </c>
      <c r="B291" s="15" t="s">
        <v>758</v>
      </c>
      <c r="C291" s="15">
        <v>4</v>
      </c>
      <c r="D291" s="15" t="s">
        <v>660</v>
      </c>
      <c r="E291" s="15" t="s">
        <v>654</v>
      </c>
      <c r="F291" s="15" t="s">
        <v>656</v>
      </c>
      <c r="G291" s="15"/>
      <c r="H291" s="15"/>
      <c r="I291" s="15" t="s">
        <v>751</v>
      </c>
      <c r="J291" s="15" t="s">
        <v>686</v>
      </c>
      <c r="K291" s="15"/>
      <c r="L291" s="15"/>
      <c r="M291" s="15" t="s">
        <v>885</v>
      </c>
      <c r="N291" s="15">
        <v>2</v>
      </c>
    </row>
    <row r="292" spans="1:14">
      <c r="A292" t="s">
        <v>244</v>
      </c>
      <c r="B292" t="s">
        <v>758</v>
      </c>
      <c r="C292">
        <v>4</v>
      </c>
      <c r="E292" t="s">
        <v>654</v>
      </c>
      <c r="F292" t="s">
        <v>728</v>
      </c>
      <c r="M292" s="15" t="s">
        <v>889</v>
      </c>
      <c r="N292">
        <v>2</v>
      </c>
    </row>
    <row r="293" spans="1:14">
      <c r="A293" s="15" t="s">
        <v>347</v>
      </c>
      <c r="B293" s="15" t="s">
        <v>758</v>
      </c>
      <c r="C293" s="15">
        <v>4</v>
      </c>
      <c r="D293" s="15"/>
      <c r="E293" s="15" t="s">
        <v>697</v>
      </c>
      <c r="F293" s="15"/>
      <c r="G293" s="15"/>
      <c r="H293" s="15"/>
      <c r="I293" s="15"/>
      <c r="J293" s="15" t="s">
        <v>686</v>
      </c>
      <c r="K293" s="15" t="s">
        <v>477</v>
      </c>
      <c r="L293" s="15" t="s">
        <v>682</v>
      </c>
      <c r="M293" s="15" t="s">
        <v>898</v>
      </c>
      <c r="N293" s="15">
        <v>4</v>
      </c>
    </row>
    <row r="294" spans="1:14">
      <c r="A294" s="15" t="s">
        <v>309</v>
      </c>
      <c r="B294" s="15" t="s">
        <v>758</v>
      </c>
      <c r="C294" s="15">
        <v>4</v>
      </c>
      <c r="D294" s="15"/>
      <c r="E294" s="15" t="s">
        <v>697</v>
      </c>
      <c r="F294" s="15"/>
      <c r="G294" s="15"/>
      <c r="H294" s="15"/>
      <c r="I294" s="15"/>
      <c r="J294" s="15"/>
      <c r="K294" s="15" t="s">
        <v>477</v>
      </c>
      <c r="L294" s="15"/>
      <c r="M294" s="15" t="s">
        <v>898</v>
      </c>
      <c r="N294" s="15">
        <v>4</v>
      </c>
    </row>
    <row r="295" spans="1:14">
      <c r="A295" s="15" t="s">
        <v>516</v>
      </c>
      <c r="B295" s="15" t="s">
        <v>758</v>
      </c>
      <c r="C295" s="15">
        <v>4</v>
      </c>
      <c r="D295" s="15"/>
      <c r="E295" s="15" t="s">
        <v>697</v>
      </c>
      <c r="F295" s="15"/>
      <c r="G295" s="15"/>
      <c r="H295" s="15"/>
      <c r="I295" s="15"/>
      <c r="J295" s="15"/>
      <c r="K295" s="15" t="s">
        <v>477</v>
      </c>
      <c r="L295" s="15" t="s">
        <v>682</v>
      </c>
      <c r="M295" s="15" t="s">
        <v>898</v>
      </c>
      <c r="N295" s="15">
        <v>3</v>
      </c>
    </row>
    <row r="296" spans="1:14">
      <c r="A296" s="15" t="s">
        <v>110</v>
      </c>
      <c r="B296" s="15" t="s">
        <v>758</v>
      </c>
      <c r="C296" s="15">
        <v>5</v>
      </c>
      <c r="D296" s="15"/>
      <c r="E296" s="15" t="s">
        <v>654</v>
      </c>
      <c r="F296" s="15" t="s">
        <v>482</v>
      </c>
      <c r="G296" s="15" t="s">
        <v>736</v>
      </c>
      <c r="H296" s="15"/>
      <c r="I296" s="15" t="s">
        <v>772</v>
      </c>
      <c r="J296" s="15" t="s">
        <v>399</v>
      </c>
      <c r="K296" s="15"/>
      <c r="L296" s="15" t="s">
        <v>717</v>
      </c>
      <c r="M296" s="15" t="s">
        <v>885</v>
      </c>
      <c r="N296" s="15">
        <v>3</v>
      </c>
    </row>
    <row r="297" spans="1:14">
      <c r="A297" s="15" t="s">
        <v>465</v>
      </c>
      <c r="B297" s="15" t="s">
        <v>758</v>
      </c>
      <c r="C297" s="15">
        <v>5</v>
      </c>
      <c r="D297" s="15"/>
      <c r="E297" s="15" t="s">
        <v>654</v>
      </c>
      <c r="F297" s="15" t="s">
        <v>482</v>
      </c>
      <c r="G297" s="15" t="s">
        <v>736</v>
      </c>
      <c r="H297" s="15"/>
      <c r="I297" s="15" t="s">
        <v>668</v>
      </c>
      <c r="J297" s="15" t="s">
        <v>733</v>
      </c>
      <c r="K297" s="15"/>
      <c r="L297" s="15"/>
      <c r="M297" s="15" t="s">
        <v>889</v>
      </c>
      <c r="N297" s="15">
        <v>3</v>
      </c>
    </row>
    <row r="298" spans="1:14">
      <c r="A298" s="15" t="s">
        <v>48</v>
      </c>
      <c r="B298" s="15" t="s">
        <v>758</v>
      </c>
      <c r="C298" s="15">
        <v>5</v>
      </c>
      <c r="D298" s="15"/>
      <c r="E298" s="15" t="s">
        <v>654</v>
      </c>
      <c r="F298" s="15" t="s">
        <v>770</v>
      </c>
      <c r="G298" s="15" t="s">
        <v>771</v>
      </c>
      <c r="H298" s="15"/>
      <c r="I298" s="15"/>
      <c r="J298" s="15"/>
      <c r="K298" s="15"/>
      <c r="L298" s="15" t="s">
        <v>682</v>
      </c>
      <c r="M298" s="15" t="s">
        <v>904</v>
      </c>
      <c r="N298" s="15">
        <v>3</v>
      </c>
    </row>
    <row r="299" spans="1:14">
      <c r="A299" s="15" t="s">
        <v>356</v>
      </c>
      <c r="B299" s="15" t="s">
        <v>758</v>
      </c>
      <c r="C299" s="15">
        <v>6</v>
      </c>
      <c r="D299" s="15"/>
      <c r="E299" s="15" t="s">
        <v>697</v>
      </c>
      <c r="F299" s="15"/>
      <c r="G299" s="15"/>
      <c r="H299" s="15"/>
      <c r="I299" s="15"/>
      <c r="J299" s="15"/>
      <c r="K299" s="15" t="s">
        <v>477</v>
      </c>
      <c r="L299" s="15" t="s">
        <v>682</v>
      </c>
      <c r="M299" s="15" t="s">
        <v>898</v>
      </c>
      <c r="N299" s="15">
        <v>4</v>
      </c>
    </row>
    <row r="300" spans="1:14">
      <c r="A300" s="15" t="s">
        <v>114</v>
      </c>
      <c r="B300" s="15" t="s">
        <v>651</v>
      </c>
      <c r="C300">
        <v>1</v>
      </c>
      <c r="E300" s="15" t="s">
        <v>654</v>
      </c>
      <c r="F300" t="s">
        <v>656</v>
      </c>
      <c r="H300" t="s">
        <v>653</v>
      </c>
      <c r="J300" t="s">
        <v>669</v>
      </c>
      <c r="M300" s="15" t="s">
        <v>882</v>
      </c>
      <c r="N300">
        <v>4</v>
      </c>
    </row>
    <row r="301" spans="1:14">
      <c r="A301" s="15" t="s">
        <v>313</v>
      </c>
      <c r="B301" s="15" t="s">
        <v>651</v>
      </c>
      <c r="C301" s="15">
        <v>1</v>
      </c>
      <c r="D301" s="15"/>
      <c r="E301" s="15" t="s">
        <v>654</v>
      </c>
      <c r="F301" s="15" t="s">
        <v>482</v>
      </c>
      <c r="G301" s="15"/>
      <c r="H301" s="15" t="s">
        <v>653</v>
      </c>
      <c r="I301" s="15"/>
      <c r="J301" s="15" t="s">
        <v>667</v>
      </c>
      <c r="K301" s="15"/>
      <c r="L301" s="15"/>
      <c r="M301" s="15" t="s">
        <v>667</v>
      </c>
      <c r="N301" s="15">
        <v>4</v>
      </c>
    </row>
    <row r="302" spans="1:14">
      <c r="A302" s="15" t="s">
        <v>3</v>
      </c>
      <c r="B302" s="15" t="s">
        <v>651</v>
      </c>
      <c r="C302">
        <v>1</v>
      </c>
      <c r="E302" s="15" t="s">
        <v>654</v>
      </c>
      <c r="F302" t="s">
        <v>482</v>
      </c>
      <c r="G302" t="s">
        <v>648</v>
      </c>
      <c r="H302" t="s">
        <v>653</v>
      </c>
      <c r="J302" t="s">
        <v>657</v>
      </c>
      <c r="M302" s="15" t="s">
        <v>882</v>
      </c>
      <c r="N302">
        <v>3</v>
      </c>
    </row>
    <row r="303" spans="1:14">
      <c r="A303" s="15" t="s">
        <v>1</v>
      </c>
      <c r="B303" s="15" t="s">
        <v>651</v>
      </c>
      <c r="C303">
        <v>1</v>
      </c>
      <c r="E303" s="15" t="s">
        <v>654</v>
      </c>
      <c r="F303" t="s">
        <v>482</v>
      </c>
      <c r="G303" t="s">
        <v>652</v>
      </c>
      <c r="I303" t="s">
        <v>668</v>
      </c>
      <c r="J303" t="s">
        <v>655</v>
      </c>
      <c r="M303" s="15" t="s">
        <v>882</v>
      </c>
      <c r="N303">
        <v>3</v>
      </c>
    </row>
    <row r="304" spans="1:14">
      <c r="A304" s="15" t="s">
        <v>568</v>
      </c>
      <c r="B304" s="15" t="s">
        <v>651</v>
      </c>
      <c r="C304">
        <v>1</v>
      </c>
      <c r="E304" s="15" t="s">
        <v>654</v>
      </c>
      <c r="F304" t="s">
        <v>656</v>
      </c>
      <c r="H304" t="s">
        <v>653</v>
      </c>
      <c r="M304" s="15" t="s">
        <v>882</v>
      </c>
      <c r="N304">
        <v>3</v>
      </c>
    </row>
    <row r="305" spans="1:14">
      <c r="A305" s="15" t="s">
        <v>590</v>
      </c>
      <c r="B305" s="15" t="s">
        <v>651</v>
      </c>
      <c r="C305" s="15">
        <v>1</v>
      </c>
      <c r="D305" s="15"/>
      <c r="E305" s="15" t="s">
        <v>654</v>
      </c>
      <c r="F305" s="15" t="s">
        <v>482</v>
      </c>
      <c r="G305" s="15" t="s">
        <v>648</v>
      </c>
      <c r="H305" s="15" t="s">
        <v>653</v>
      </c>
      <c r="I305" s="15"/>
      <c r="J305" s="15"/>
      <c r="K305" s="15"/>
      <c r="L305" s="15"/>
      <c r="M305" s="15" t="s">
        <v>879</v>
      </c>
      <c r="N305" s="15">
        <v>3</v>
      </c>
    </row>
    <row r="306" spans="1:14">
      <c r="A306" s="15" t="s">
        <v>157</v>
      </c>
      <c r="B306" s="15" t="s">
        <v>651</v>
      </c>
      <c r="C306" s="15">
        <v>1</v>
      </c>
      <c r="D306" s="15"/>
      <c r="E306" s="15" t="s">
        <v>654</v>
      </c>
      <c r="F306" s="15" t="s">
        <v>670</v>
      </c>
      <c r="G306" s="15" t="s">
        <v>648</v>
      </c>
      <c r="H306" s="15" t="s">
        <v>653</v>
      </c>
      <c r="I306" s="15"/>
      <c r="J306" s="15"/>
      <c r="K306" s="15"/>
      <c r="L306" s="15"/>
      <c r="M306" s="15" t="s">
        <v>879</v>
      </c>
      <c r="N306" s="15">
        <v>3</v>
      </c>
    </row>
    <row r="307" spans="1:14">
      <c r="A307" s="15" t="s">
        <v>635</v>
      </c>
      <c r="B307" s="15" t="s">
        <v>651</v>
      </c>
      <c r="C307" s="15">
        <v>1</v>
      </c>
      <c r="D307" s="15"/>
      <c r="E307" s="15" t="s">
        <v>697</v>
      </c>
      <c r="F307" s="15"/>
      <c r="G307" s="15"/>
      <c r="H307" s="15"/>
      <c r="I307" s="15"/>
      <c r="J307" s="15"/>
      <c r="K307" s="15"/>
      <c r="L307" s="15"/>
      <c r="M307" s="15" t="s">
        <v>889</v>
      </c>
      <c r="N307" s="15">
        <v>3</v>
      </c>
    </row>
    <row r="308" spans="1:14">
      <c r="A308" s="15" t="s">
        <v>295</v>
      </c>
      <c r="B308" s="15" t="s">
        <v>651</v>
      </c>
      <c r="C308" s="15">
        <v>1</v>
      </c>
      <c r="D308" s="15"/>
      <c r="E308" s="15" t="s">
        <v>697</v>
      </c>
      <c r="F308" s="15"/>
      <c r="G308" s="15"/>
      <c r="H308" s="15"/>
      <c r="I308" s="15"/>
      <c r="J308" s="15"/>
      <c r="K308" s="15"/>
      <c r="L308" s="15"/>
      <c r="M308" s="15" t="s">
        <v>887</v>
      </c>
      <c r="N308" s="15">
        <v>2</v>
      </c>
    </row>
    <row r="309" spans="1:14">
      <c r="A309" s="15" t="s">
        <v>160</v>
      </c>
      <c r="B309" s="15" t="s">
        <v>651</v>
      </c>
      <c r="C309" s="15">
        <v>1</v>
      </c>
      <c r="D309" s="15"/>
      <c r="E309" s="15" t="s">
        <v>659</v>
      </c>
      <c r="F309" s="15"/>
      <c r="G309" s="15"/>
      <c r="H309" s="15"/>
      <c r="I309" s="15"/>
      <c r="J309" s="15"/>
      <c r="K309" s="15" t="s">
        <v>477</v>
      </c>
      <c r="L309" s="15"/>
      <c r="M309" s="15" t="s">
        <v>477</v>
      </c>
      <c r="N309" s="15">
        <v>2</v>
      </c>
    </row>
    <row r="310" spans="1:14">
      <c r="A310" s="15" t="s">
        <v>190</v>
      </c>
      <c r="B310" s="15" t="s">
        <v>651</v>
      </c>
      <c r="C310" s="15">
        <v>2</v>
      </c>
      <c r="D310" s="15" t="s">
        <v>698</v>
      </c>
      <c r="E310" s="15" t="s">
        <v>699</v>
      </c>
      <c r="F310" s="15"/>
      <c r="G310" s="15"/>
      <c r="H310" s="15"/>
      <c r="I310" s="15" t="s">
        <v>679</v>
      </c>
      <c r="J310" s="15"/>
      <c r="K310" s="15" t="s">
        <v>477</v>
      </c>
      <c r="L310" s="15"/>
      <c r="M310" s="15" t="s">
        <v>477</v>
      </c>
      <c r="N310" s="15">
        <v>4</v>
      </c>
    </row>
    <row r="311" spans="1:14">
      <c r="A311" s="15" t="s">
        <v>929</v>
      </c>
      <c r="B311" s="15" t="s">
        <v>651</v>
      </c>
      <c r="C311">
        <v>2</v>
      </c>
      <c r="D311" t="s">
        <v>698</v>
      </c>
      <c r="E311" s="15" t="s">
        <v>699</v>
      </c>
      <c r="I311" s="15" t="s">
        <v>679</v>
      </c>
      <c r="M311" s="15" t="s">
        <v>894</v>
      </c>
      <c r="N311">
        <v>2</v>
      </c>
    </row>
    <row r="312" spans="1:14">
      <c r="A312" s="15" t="s">
        <v>619</v>
      </c>
      <c r="B312" s="15" t="s">
        <v>651</v>
      </c>
      <c r="C312" s="15">
        <v>2</v>
      </c>
      <c r="D312" s="15" t="s">
        <v>698</v>
      </c>
      <c r="E312" s="15" t="s">
        <v>699</v>
      </c>
      <c r="F312" s="15"/>
      <c r="G312" s="15"/>
      <c r="H312" s="15"/>
      <c r="I312" s="15"/>
      <c r="J312" s="15"/>
      <c r="K312" s="15" t="s">
        <v>477</v>
      </c>
      <c r="L312" s="15"/>
      <c r="M312" s="15" t="s">
        <v>889</v>
      </c>
      <c r="N312" s="15">
        <v>2</v>
      </c>
    </row>
    <row r="313" spans="1:14">
      <c r="A313" s="15" t="s">
        <v>486</v>
      </c>
      <c r="B313" s="15" t="s">
        <v>651</v>
      </c>
      <c r="C313">
        <v>2</v>
      </c>
      <c r="E313" s="15" t="s">
        <v>654</v>
      </c>
      <c r="F313" t="s">
        <v>674</v>
      </c>
      <c r="H313" t="s">
        <v>653</v>
      </c>
      <c r="I313" t="s">
        <v>678</v>
      </c>
      <c r="J313" s="15"/>
      <c r="M313" s="15" t="s">
        <v>886</v>
      </c>
      <c r="N313">
        <v>4</v>
      </c>
    </row>
    <row r="314" spans="1:14">
      <c r="A314" s="15" t="s">
        <v>314</v>
      </c>
      <c r="B314" s="15" t="s">
        <v>651</v>
      </c>
      <c r="C314">
        <v>2</v>
      </c>
      <c r="E314" s="15" t="s">
        <v>654</v>
      </c>
      <c r="F314" t="s">
        <v>675</v>
      </c>
      <c r="H314" t="s">
        <v>653</v>
      </c>
      <c r="I314" t="s">
        <v>678</v>
      </c>
      <c r="J314" s="15"/>
      <c r="M314" s="15" t="s">
        <v>886</v>
      </c>
      <c r="N314">
        <v>4</v>
      </c>
    </row>
    <row r="315" spans="1:14">
      <c r="A315" s="15" t="s">
        <v>490</v>
      </c>
      <c r="B315" s="15" t="s">
        <v>651</v>
      </c>
      <c r="C315">
        <v>2</v>
      </c>
      <c r="D315" t="s">
        <v>660</v>
      </c>
      <c r="E315" s="15" t="s">
        <v>654</v>
      </c>
      <c r="G315" t="s">
        <v>648</v>
      </c>
      <c r="H315" t="s">
        <v>653</v>
      </c>
      <c r="I315" t="s">
        <v>668</v>
      </c>
      <c r="J315" s="15" t="s">
        <v>686</v>
      </c>
      <c r="M315" s="15" t="s">
        <v>885</v>
      </c>
      <c r="N315">
        <v>4</v>
      </c>
    </row>
    <row r="316" spans="1:14">
      <c r="A316" s="15" t="s">
        <v>504</v>
      </c>
      <c r="B316" s="15" t="s">
        <v>651</v>
      </c>
      <c r="C316" s="15">
        <v>2</v>
      </c>
      <c r="D316" s="15"/>
      <c r="E316" s="15" t="s">
        <v>654</v>
      </c>
      <c r="F316" s="15" t="s">
        <v>674</v>
      </c>
      <c r="G316" s="15"/>
      <c r="H316" s="15" t="s">
        <v>653</v>
      </c>
      <c r="I316" s="15" t="s">
        <v>678</v>
      </c>
      <c r="J316" s="15" t="s">
        <v>667</v>
      </c>
      <c r="K316" s="15"/>
      <c r="L316" s="15"/>
      <c r="M316" s="15" t="s">
        <v>667</v>
      </c>
      <c r="N316" s="15">
        <v>4</v>
      </c>
    </row>
    <row r="317" spans="1:14">
      <c r="A317" s="15" t="s">
        <v>112</v>
      </c>
      <c r="B317" s="15" t="s">
        <v>651</v>
      </c>
      <c r="C317">
        <v>2</v>
      </c>
      <c r="E317" s="15" t="s">
        <v>654</v>
      </c>
      <c r="F317" t="s">
        <v>670</v>
      </c>
      <c r="G317" t="s">
        <v>673</v>
      </c>
      <c r="H317" t="s">
        <v>653</v>
      </c>
      <c r="J317" s="15" t="s">
        <v>667</v>
      </c>
      <c r="M317" s="15" t="s">
        <v>667</v>
      </c>
      <c r="N317">
        <v>4</v>
      </c>
    </row>
    <row r="318" spans="1:14">
      <c r="A318" s="15" t="s">
        <v>530</v>
      </c>
      <c r="B318" s="15" t="s">
        <v>651</v>
      </c>
      <c r="C318" s="15">
        <v>2</v>
      </c>
      <c r="D318" s="15"/>
      <c r="E318" s="15" t="s">
        <v>654</v>
      </c>
      <c r="F318" s="15" t="s">
        <v>482</v>
      </c>
      <c r="G318" s="15" t="s">
        <v>652</v>
      </c>
      <c r="H318" s="15" t="s">
        <v>653</v>
      </c>
      <c r="I318" s="15"/>
      <c r="J318" s="15" t="s">
        <v>680</v>
      </c>
      <c r="K318" s="15"/>
      <c r="L318" s="15"/>
      <c r="M318" s="15" t="s">
        <v>882</v>
      </c>
      <c r="N318" s="15">
        <v>3</v>
      </c>
    </row>
    <row r="319" spans="1:14">
      <c r="A319" s="15" t="s">
        <v>671</v>
      </c>
      <c r="B319" s="15" t="s">
        <v>651</v>
      </c>
      <c r="C319" s="15">
        <v>2</v>
      </c>
      <c r="D319" s="15"/>
      <c r="E319" s="15" t="s">
        <v>654</v>
      </c>
      <c r="F319" s="15" t="s">
        <v>656</v>
      </c>
      <c r="G319" s="15" t="s">
        <v>652</v>
      </c>
      <c r="H319" s="15" t="s">
        <v>653</v>
      </c>
      <c r="I319" s="15" t="s">
        <v>678</v>
      </c>
      <c r="J319" s="15"/>
      <c r="K319" s="15"/>
      <c r="L319" s="15"/>
      <c r="M319" s="15" t="s">
        <v>886</v>
      </c>
      <c r="N319" s="15">
        <v>3</v>
      </c>
    </row>
    <row r="320" spans="1:14">
      <c r="A320" s="15" t="s">
        <v>10</v>
      </c>
      <c r="B320" s="15" t="s">
        <v>651</v>
      </c>
      <c r="C320">
        <v>2</v>
      </c>
      <c r="D320" s="15"/>
      <c r="E320" s="15" t="s">
        <v>654</v>
      </c>
      <c r="F320" t="s">
        <v>672</v>
      </c>
      <c r="G320" t="s">
        <v>648</v>
      </c>
      <c r="H320" t="s">
        <v>653</v>
      </c>
      <c r="I320" t="s">
        <v>678</v>
      </c>
      <c r="K320" s="15"/>
      <c r="M320" t="s">
        <v>886</v>
      </c>
      <c r="N320">
        <v>3</v>
      </c>
    </row>
    <row r="321" spans="1:14">
      <c r="A321" s="15" t="s">
        <v>552</v>
      </c>
      <c r="B321" s="15" t="s">
        <v>651</v>
      </c>
      <c r="C321">
        <v>2</v>
      </c>
      <c r="E321" s="15" t="s">
        <v>654</v>
      </c>
      <c r="F321" s="15" t="s">
        <v>672</v>
      </c>
      <c r="G321" s="15" t="s">
        <v>677</v>
      </c>
      <c r="H321" t="s">
        <v>653</v>
      </c>
      <c r="I321" s="15"/>
      <c r="M321" t="s">
        <v>954</v>
      </c>
      <c r="N321">
        <v>3</v>
      </c>
    </row>
    <row r="322" spans="1:14">
      <c r="A322" s="15" t="s">
        <v>407</v>
      </c>
      <c r="B322" s="15" t="s">
        <v>651</v>
      </c>
      <c r="C322">
        <v>2</v>
      </c>
      <c r="E322" s="15" t="s">
        <v>654</v>
      </c>
      <c r="F322" s="15" t="s">
        <v>656</v>
      </c>
      <c r="G322" s="15"/>
      <c r="H322" t="s">
        <v>653</v>
      </c>
      <c r="I322" s="15" t="s">
        <v>679</v>
      </c>
      <c r="M322" t="s">
        <v>889</v>
      </c>
      <c r="N322">
        <v>3</v>
      </c>
    </row>
    <row r="323" spans="1:14">
      <c r="A323" s="15" t="s">
        <v>228</v>
      </c>
      <c r="B323" s="15" t="s">
        <v>651</v>
      </c>
      <c r="C323" s="15">
        <v>2</v>
      </c>
      <c r="D323" s="15"/>
      <c r="E323" s="15" t="s">
        <v>654</v>
      </c>
      <c r="F323" s="15" t="s">
        <v>676</v>
      </c>
      <c r="G323" s="15"/>
      <c r="H323" s="15" t="s">
        <v>653</v>
      </c>
      <c r="I323" s="15"/>
      <c r="J323" s="15"/>
      <c r="K323" s="15"/>
      <c r="L323" s="15" t="s">
        <v>682</v>
      </c>
      <c r="M323" s="15" t="s">
        <v>900</v>
      </c>
      <c r="N323" s="15">
        <v>2</v>
      </c>
    </row>
    <row r="324" spans="1:14">
      <c r="A324" s="15" t="s">
        <v>4</v>
      </c>
      <c r="B324" s="15" t="s">
        <v>651</v>
      </c>
      <c r="C324">
        <v>2</v>
      </c>
      <c r="E324" s="15" t="s">
        <v>654</v>
      </c>
      <c r="F324" s="15" t="s">
        <v>482</v>
      </c>
      <c r="G324" t="s">
        <v>648</v>
      </c>
      <c r="I324" s="15" t="s">
        <v>681</v>
      </c>
      <c r="J324" t="s">
        <v>655</v>
      </c>
      <c r="M324" s="15" t="s">
        <v>880</v>
      </c>
      <c r="N324">
        <v>2</v>
      </c>
    </row>
    <row r="325" spans="1:14">
      <c r="A325" s="15" t="s">
        <v>7</v>
      </c>
      <c r="B325" s="15" t="s">
        <v>651</v>
      </c>
      <c r="C325">
        <v>2</v>
      </c>
      <c r="E325" s="15" t="s">
        <v>654</v>
      </c>
      <c r="F325" s="15" t="s">
        <v>672</v>
      </c>
      <c r="G325" s="15" t="s">
        <v>652</v>
      </c>
      <c r="I325" s="15" t="s">
        <v>678</v>
      </c>
      <c r="J325" t="s">
        <v>655</v>
      </c>
      <c r="M325" s="15" t="s">
        <v>880</v>
      </c>
      <c r="N325">
        <v>2</v>
      </c>
    </row>
    <row r="326" spans="1:14">
      <c r="A326" s="15" t="s">
        <v>406</v>
      </c>
      <c r="B326" s="15" t="s">
        <v>651</v>
      </c>
      <c r="C326">
        <v>2</v>
      </c>
      <c r="E326" s="15" t="s">
        <v>697</v>
      </c>
      <c r="J326" t="s">
        <v>703</v>
      </c>
      <c r="K326" s="15"/>
      <c r="M326" s="15" t="s">
        <v>889</v>
      </c>
      <c r="N326">
        <v>3</v>
      </c>
    </row>
    <row r="327" spans="1:14">
      <c r="A327" s="15" t="s">
        <v>555</v>
      </c>
      <c r="B327" s="15" t="s">
        <v>651</v>
      </c>
      <c r="C327" s="15">
        <v>2</v>
      </c>
      <c r="D327" s="15"/>
      <c r="E327" s="15" t="s">
        <v>659</v>
      </c>
      <c r="F327" s="15"/>
      <c r="G327" s="15"/>
      <c r="H327" s="15"/>
      <c r="I327" s="15"/>
      <c r="J327" s="15"/>
      <c r="K327" s="15"/>
      <c r="L327" s="15"/>
      <c r="M327" s="15" t="s">
        <v>892</v>
      </c>
      <c r="N327" s="15">
        <v>2</v>
      </c>
    </row>
    <row r="328" spans="1:14">
      <c r="A328" s="15" t="s">
        <v>5</v>
      </c>
      <c r="B328" s="15" t="s">
        <v>651</v>
      </c>
      <c r="C328">
        <v>2</v>
      </c>
      <c r="D328" t="s">
        <v>698</v>
      </c>
      <c r="E328" s="15"/>
      <c r="K328" s="15" t="s">
        <v>477</v>
      </c>
      <c r="M328" s="15" t="s">
        <v>477</v>
      </c>
      <c r="N328">
        <v>3</v>
      </c>
    </row>
    <row r="329" spans="1:14">
      <c r="A329" s="15" t="s">
        <v>401</v>
      </c>
      <c r="B329" s="15" t="s">
        <v>651</v>
      </c>
      <c r="C329">
        <v>2</v>
      </c>
      <c r="D329" t="s">
        <v>698</v>
      </c>
      <c r="E329" s="15"/>
      <c r="F329" s="15"/>
      <c r="J329" t="s">
        <v>399</v>
      </c>
      <c r="K329" s="15"/>
      <c r="M329" s="15" t="s">
        <v>889</v>
      </c>
      <c r="N329">
        <v>2</v>
      </c>
    </row>
    <row r="330" spans="1:14">
      <c r="A330" s="15" t="s">
        <v>193</v>
      </c>
      <c r="B330" s="15" t="s">
        <v>651</v>
      </c>
      <c r="C330">
        <v>3</v>
      </c>
      <c r="D330" t="s">
        <v>698</v>
      </c>
      <c r="E330" s="15" t="s">
        <v>699</v>
      </c>
      <c r="F330" s="15"/>
      <c r="K330" t="s">
        <v>477</v>
      </c>
      <c r="M330" s="15" t="s">
        <v>477</v>
      </c>
      <c r="N330">
        <v>2</v>
      </c>
    </row>
    <row r="331" spans="1:14">
      <c r="A331" s="15" t="s">
        <v>290</v>
      </c>
      <c r="B331" s="15" t="s">
        <v>651</v>
      </c>
      <c r="C331" s="15">
        <v>3</v>
      </c>
      <c r="D331" s="15" t="s">
        <v>698</v>
      </c>
      <c r="E331" s="15" t="s">
        <v>699</v>
      </c>
      <c r="F331" s="15"/>
      <c r="G331" s="15"/>
      <c r="H331" s="15"/>
      <c r="I331" s="15"/>
      <c r="J331" s="15"/>
      <c r="K331" s="15" t="s">
        <v>477</v>
      </c>
      <c r="L331" s="15"/>
      <c r="M331" s="15" t="s">
        <v>477</v>
      </c>
      <c r="N331" s="15">
        <v>2</v>
      </c>
    </row>
    <row r="332" spans="1:14">
      <c r="A332" s="15" t="s">
        <v>9</v>
      </c>
      <c r="B332" s="15" t="s">
        <v>651</v>
      </c>
      <c r="C332" s="15">
        <v>3</v>
      </c>
      <c r="D332" s="15"/>
      <c r="E332" s="15" t="s">
        <v>654</v>
      </c>
      <c r="F332" s="15" t="s">
        <v>672</v>
      </c>
      <c r="G332" s="15" t="s">
        <v>683</v>
      </c>
      <c r="H332" s="15"/>
      <c r="I332" s="15"/>
      <c r="J332" s="15" t="s">
        <v>686</v>
      </c>
      <c r="K332" s="15"/>
      <c r="L332" s="15"/>
      <c r="M332" s="15" t="s">
        <v>892</v>
      </c>
      <c r="N332" s="15">
        <v>3</v>
      </c>
    </row>
    <row r="333" spans="1:14">
      <c r="A333" s="15" t="s">
        <v>380</v>
      </c>
      <c r="B333" s="15" t="s">
        <v>651</v>
      </c>
      <c r="C333">
        <v>3</v>
      </c>
      <c r="E333" s="15" t="s">
        <v>654</v>
      </c>
      <c r="F333" s="15" t="s">
        <v>674</v>
      </c>
      <c r="G333" s="15"/>
      <c r="H333" t="s">
        <v>653</v>
      </c>
      <c r="I333" t="s">
        <v>678</v>
      </c>
      <c r="M333" s="15" t="s">
        <v>900</v>
      </c>
      <c r="N333">
        <v>3</v>
      </c>
    </row>
    <row r="334" spans="1:14">
      <c r="A334" s="15" t="s">
        <v>366</v>
      </c>
      <c r="B334" s="15" t="s">
        <v>651</v>
      </c>
      <c r="C334" s="15">
        <v>3</v>
      </c>
      <c r="D334" s="15"/>
      <c r="E334" s="15" t="s">
        <v>654</v>
      </c>
      <c r="F334" s="15" t="s">
        <v>672</v>
      </c>
      <c r="G334" s="15" t="s">
        <v>684</v>
      </c>
      <c r="H334" s="15"/>
      <c r="I334" s="15" t="s">
        <v>678</v>
      </c>
      <c r="J334" s="15"/>
      <c r="K334" s="15"/>
      <c r="L334" s="15"/>
      <c r="M334" s="15" t="s">
        <v>880</v>
      </c>
      <c r="N334" s="15">
        <v>3</v>
      </c>
    </row>
    <row r="335" spans="1:14">
      <c r="A335" s="15" t="s">
        <v>227</v>
      </c>
      <c r="B335" s="15" t="s">
        <v>651</v>
      </c>
      <c r="C335" s="15">
        <v>3</v>
      </c>
      <c r="D335" s="15"/>
      <c r="E335" s="15" t="s">
        <v>654</v>
      </c>
      <c r="F335" s="15" t="s">
        <v>676</v>
      </c>
      <c r="G335" s="15"/>
      <c r="H335" s="15" t="s">
        <v>653</v>
      </c>
      <c r="I335" s="15" t="s">
        <v>678</v>
      </c>
      <c r="J335" s="15"/>
      <c r="K335" s="15"/>
      <c r="L335" s="15"/>
      <c r="M335" s="15" t="s">
        <v>948</v>
      </c>
      <c r="N335" s="15">
        <v>3</v>
      </c>
    </row>
    <row r="336" spans="1:14">
      <c r="A336" s="15" t="s">
        <v>685</v>
      </c>
      <c r="B336" s="15" t="s">
        <v>651</v>
      </c>
      <c r="C336" s="15">
        <v>3</v>
      </c>
      <c r="D336" s="15"/>
      <c r="E336" s="15" t="s">
        <v>654</v>
      </c>
      <c r="F336" s="15" t="s">
        <v>670</v>
      </c>
      <c r="G336" s="15" t="s">
        <v>648</v>
      </c>
      <c r="H336" s="15" t="s">
        <v>653</v>
      </c>
      <c r="I336" s="15" t="s">
        <v>668</v>
      </c>
      <c r="J336" s="15"/>
      <c r="K336" s="15"/>
      <c r="L336" s="15"/>
      <c r="M336" s="15" t="s">
        <v>882</v>
      </c>
      <c r="N336" s="15">
        <v>2</v>
      </c>
    </row>
    <row r="337" spans="1:14">
      <c r="A337" s="15" t="s">
        <v>393</v>
      </c>
      <c r="B337" s="15" t="s">
        <v>651</v>
      </c>
      <c r="C337" s="15">
        <v>3</v>
      </c>
      <c r="D337" s="15"/>
      <c r="E337" s="15" t="s">
        <v>654</v>
      </c>
      <c r="F337" s="15" t="s">
        <v>674</v>
      </c>
      <c r="G337" s="15"/>
      <c r="H337" s="15" t="s">
        <v>653</v>
      </c>
      <c r="I337" s="15" t="s">
        <v>678</v>
      </c>
      <c r="J337" s="15" t="s">
        <v>686</v>
      </c>
      <c r="K337" s="15"/>
      <c r="L337" s="15"/>
      <c r="M337" s="15" t="s">
        <v>880</v>
      </c>
      <c r="N337" s="15">
        <v>2</v>
      </c>
    </row>
    <row r="338" spans="1:14">
      <c r="A338" s="15" t="s">
        <v>378</v>
      </c>
      <c r="B338" s="15" t="s">
        <v>651</v>
      </c>
      <c r="C338" s="15">
        <v>3</v>
      </c>
      <c r="D338" s="15"/>
      <c r="E338" s="15" t="s">
        <v>654</v>
      </c>
      <c r="F338" s="15" t="s">
        <v>670</v>
      </c>
      <c r="G338" s="15" t="s">
        <v>648</v>
      </c>
      <c r="H338" s="15" t="s">
        <v>653</v>
      </c>
      <c r="I338" s="15" t="s">
        <v>678</v>
      </c>
      <c r="J338" s="15" t="s">
        <v>687</v>
      </c>
      <c r="K338" s="15"/>
      <c r="L338" s="15"/>
      <c r="M338" s="15" t="s">
        <v>948</v>
      </c>
      <c r="N338" s="15">
        <v>2</v>
      </c>
    </row>
    <row r="339" spans="1:14">
      <c r="A339" s="15" t="s">
        <v>589</v>
      </c>
      <c r="B339" s="15" t="s">
        <v>651</v>
      </c>
      <c r="C339">
        <v>3</v>
      </c>
      <c r="D339" s="15"/>
      <c r="E339" s="15" t="s">
        <v>654</v>
      </c>
      <c r="F339" t="s">
        <v>482</v>
      </c>
      <c r="G339" t="s">
        <v>684</v>
      </c>
      <c r="H339" t="s">
        <v>653</v>
      </c>
      <c r="J339" s="15"/>
      <c r="M339" s="15" t="s">
        <v>955</v>
      </c>
      <c r="N339">
        <v>2</v>
      </c>
    </row>
    <row r="340" spans="1:14">
      <c r="A340" s="15" t="s">
        <v>8</v>
      </c>
      <c r="B340" s="15" t="s">
        <v>651</v>
      </c>
      <c r="C340">
        <v>3</v>
      </c>
      <c r="D340" s="15"/>
      <c r="E340" s="15" t="s">
        <v>654</v>
      </c>
      <c r="F340" t="s">
        <v>672</v>
      </c>
      <c r="G340" t="s">
        <v>648</v>
      </c>
      <c r="H340" t="s">
        <v>653</v>
      </c>
      <c r="K340" s="15"/>
      <c r="M340" s="15" t="s">
        <v>879</v>
      </c>
      <c r="N340">
        <v>2</v>
      </c>
    </row>
    <row r="341" spans="1:14">
      <c r="A341" s="15" t="s">
        <v>612</v>
      </c>
      <c r="B341" s="15" t="s">
        <v>651</v>
      </c>
      <c r="C341">
        <v>3</v>
      </c>
      <c r="E341" s="15" t="s">
        <v>697</v>
      </c>
      <c r="F341" s="15"/>
      <c r="G341" s="15"/>
      <c r="I341" s="15"/>
      <c r="J341" s="15"/>
      <c r="M341" s="15" t="s">
        <v>894</v>
      </c>
      <c r="N341">
        <v>2</v>
      </c>
    </row>
    <row r="342" spans="1:14">
      <c r="A342" s="15" t="s">
        <v>210</v>
      </c>
      <c r="B342" s="15" t="s">
        <v>651</v>
      </c>
      <c r="C342" s="15">
        <v>3</v>
      </c>
      <c r="D342" s="15"/>
      <c r="E342" s="15" t="s">
        <v>659</v>
      </c>
      <c r="F342" s="15"/>
      <c r="G342" s="15"/>
      <c r="H342" s="15"/>
      <c r="I342" s="15" t="s">
        <v>704</v>
      </c>
      <c r="J342" s="15" t="s">
        <v>703</v>
      </c>
      <c r="K342" s="15"/>
      <c r="L342" s="15"/>
      <c r="M342" s="15" t="s">
        <v>894</v>
      </c>
      <c r="N342" s="15">
        <v>2</v>
      </c>
    </row>
    <row r="343" spans="1:14">
      <c r="A343" s="20" t="s">
        <v>603</v>
      </c>
      <c r="B343" s="20" t="s">
        <v>651</v>
      </c>
      <c r="C343" s="20">
        <v>3</v>
      </c>
      <c r="D343" s="20"/>
      <c r="E343" s="20" t="s">
        <v>659</v>
      </c>
      <c r="F343" s="20"/>
      <c r="G343" s="20"/>
      <c r="H343" s="20"/>
      <c r="I343" s="20"/>
      <c r="J343" s="20"/>
      <c r="K343" s="20"/>
      <c r="L343" s="20"/>
      <c r="M343" s="20" t="s">
        <v>884</v>
      </c>
      <c r="N343" s="20">
        <v>2</v>
      </c>
    </row>
    <row r="344" spans="1:14">
      <c r="A344" s="15" t="s">
        <v>12</v>
      </c>
      <c r="B344" s="15" t="s">
        <v>651</v>
      </c>
      <c r="C344" s="15">
        <v>3</v>
      </c>
      <c r="D344" s="15" t="s">
        <v>698</v>
      </c>
      <c r="E344" s="15"/>
      <c r="F344" s="15"/>
      <c r="G344" s="15"/>
      <c r="H344" s="15"/>
      <c r="I344" s="15"/>
      <c r="J344" s="15"/>
      <c r="K344" s="15" t="s">
        <v>477</v>
      </c>
      <c r="L344" s="15"/>
      <c r="M344" s="15" t="s">
        <v>477</v>
      </c>
      <c r="N344" s="15">
        <v>4</v>
      </c>
    </row>
    <row r="345" spans="1:14">
      <c r="A345" s="15" t="s">
        <v>232</v>
      </c>
      <c r="B345" s="15" t="s">
        <v>651</v>
      </c>
      <c r="C345">
        <v>4</v>
      </c>
      <c r="D345" s="15" t="s">
        <v>698</v>
      </c>
      <c r="E345" t="s">
        <v>699</v>
      </c>
      <c r="K345" t="s">
        <v>477</v>
      </c>
      <c r="M345" s="15" t="s">
        <v>477</v>
      </c>
      <c r="N345">
        <v>4</v>
      </c>
    </row>
    <row r="346" spans="1:14">
      <c r="A346" s="15" t="s">
        <v>425</v>
      </c>
      <c r="B346" s="15" t="s">
        <v>651</v>
      </c>
      <c r="C346" s="15">
        <v>4</v>
      </c>
      <c r="D346" s="15"/>
      <c r="E346" s="15" t="s">
        <v>654</v>
      </c>
      <c r="F346" s="15" t="s">
        <v>661</v>
      </c>
      <c r="G346" s="15"/>
      <c r="H346" s="15" t="s">
        <v>653</v>
      </c>
      <c r="I346" s="15" t="s">
        <v>690</v>
      </c>
      <c r="J346" s="15" t="s">
        <v>691</v>
      </c>
      <c r="K346" s="15"/>
      <c r="L346" s="15" t="s">
        <v>682</v>
      </c>
      <c r="M346" s="15" t="s">
        <v>882</v>
      </c>
      <c r="N346" s="15">
        <v>4</v>
      </c>
    </row>
    <row r="347" spans="1:14">
      <c r="A347" s="15" t="s">
        <v>15</v>
      </c>
      <c r="B347" s="15" t="s">
        <v>651</v>
      </c>
      <c r="C347" s="15">
        <v>4</v>
      </c>
      <c r="D347" s="15" t="s">
        <v>660</v>
      </c>
      <c r="E347" s="15" t="s">
        <v>654</v>
      </c>
      <c r="F347" s="15" t="s">
        <v>688</v>
      </c>
      <c r="G347" s="15"/>
      <c r="H347" s="15" t="s">
        <v>653</v>
      </c>
      <c r="I347" s="15" t="s">
        <v>678</v>
      </c>
      <c r="J347" s="15"/>
      <c r="K347" s="15"/>
      <c r="L347" s="15"/>
      <c r="M347" s="15" t="s">
        <v>955</v>
      </c>
      <c r="N347" s="15">
        <v>3</v>
      </c>
    </row>
    <row r="348" spans="1:14">
      <c r="A348" s="15" t="s">
        <v>226</v>
      </c>
      <c r="B348" s="15" t="s">
        <v>651</v>
      </c>
      <c r="C348" s="15">
        <v>4</v>
      </c>
      <c r="D348" s="15"/>
      <c r="E348" s="15" t="s">
        <v>654</v>
      </c>
      <c r="F348" s="15" t="s">
        <v>676</v>
      </c>
      <c r="G348" s="15"/>
      <c r="H348" s="15" t="s">
        <v>653</v>
      </c>
      <c r="I348" s="15"/>
      <c r="J348" s="15" t="s">
        <v>692</v>
      </c>
      <c r="K348" s="15"/>
      <c r="L348" s="15"/>
      <c r="M348" s="15" t="s">
        <v>889</v>
      </c>
      <c r="N348" s="15">
        <v>2</v>
      </c>
    </row>
    <row r="349" spans="1:14">
      <c r="A349" s="15" t="s">
        <v>554</v>
      </c>
      <c r="B349" s="15" t="s">
        <v>651</v>
      </c>
      <c r="C349" s="15">
        <v>4</v>
      </c>
      <c r="D349" s="15"/>
      <c r="E349" s="15" t="s">
        <v>654</v>
      </c>
      <c r="F349" s="15" t="s">
        <v>482</v>
      </c>
      <c r="G349" s="15" t="s">
        <v>689</v>
      </c>
      <c r="H349" s="15" t="s">
        <v>653</v>
      </c>
      <c r="I349" s="15"/>
      <c r="J349" s="15"/>
      <c r="K349" s="15"/>
      <c r="L349" s="15"/>
      <c r="M349" s="15" t="s">
        <v>889</v>
      </c>
      <c r="N349" s="15">
        <v>2</v>
      </c>
    </row>
    <row r="350" spans="1:14">
      <c r="A350" s="15" t="s">
        <v>18</v>
      </c>
      <c r="B350" s="15" t="s">
        <v>651</v>
      </c>
      <c r="C350">
        <v>5</v>
      </c>
      <c r="D350" s="15"/>
      <c r="E350" s="15" t="s">
        <v>654</v>
      </c>
      <c r="F350" t="s">
        <v>693</v>
      </c>
      <c r="H350" t="s">
        <v>653</v>
      </c>
      <c r="I350" s="15"/>
      <c r="M350" s="15" t="s">
        <v>881</v>
      </c>
      <c r="N350">
        <v>3</v>
      </c>
    </row>
    <row r="351" spans="1:14">
      <c r="A351" s="15" t="s">
        <v>315</v>
      </c>
      <c r="B351" s="15" t="s">
        <v>651</v>
      </c>
      <c r="C351" s="15">
        <v>5</v>
      </c>
      <c r="D351" s="15"/>
      <c r="E351" s="15" t="s">
        <v>654</v>
      </c>
      <c r="F351" s="15" t="s">
        <v>674</v>
      </c>
      <c r="G351" s="15" t="s">
        <v>648</v>
      </c>
      <c r="H351" s="15" t="s">
        <v>653</v>
      </c>
      <c r="I351" s="15" t="s">
        <v>678</v>
      </c>
      <c r="J351" s="15"/>
      <c r="K351" s="15"/>
      <c r="L351" s="15"/>
      <c r="M351" s="15" t="s">
        <v>886</v>
      </c>
      <c r="N351" s="15">
        <v>3</v>
      </c>
    </row>
    <row r="557" spans="1:10">
      <c r="A557" s="13"/>
      <c r="B557" s="13"/>
      <c r="C557" s="13"/>
      <c r="D557" s="13"/>
      <c r="E557" s="13"/>
      <c r="F557" s="13"/>
      <c r="G557" s="13"/>
      <c r="H557" s="13"/>
      <c r="I557" s="13"/>
      <c r="J557" s="1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N243"/>
  <sheetViews>
    <sheetView zoomScale="80" zoomScaleNormal="80" workbookViewId="0">
      <selection activeCell="E1" sqref="E1:E243"/>
    </sheetView>
  </sheetViews>
  <sheetFormatPr defaultRowHeight="15"/>
  <cols>
    <col min="1" max="1" width="27.28515625" bestFit="1" customWidth="1"/>
    <col min="2" max="2" width="10.28515625" bestFit="1" customWidth="1"/>
    <col min="3" max="3" width="8" bestFit="1" customWidth="1"/>
    <col min="4" max="4" width="13.85546875" bestFit="1" customWidth="1"/>
    <col min="5" max="5" width="11.7109375" bestFit="1" customWidth="1"/>
    <col min="6" max="6" width="13.7109375" bestFit="1" customWidth="1"/>
    <col min="7" max="8" width="13.140625" bestFit="1" customWidth="1"/>
    <col min="9" max="9" width="15.7109375" bestFit="1" customWidth="1"/>
    <col min="10" max="10" width="15.140625" bestFit="1" customWidth="1"/>
    <col min="11" max="11" width="15.28515625" bestFit="1" customWidth="1"/>
    <col min="12" max="12" width="11.5703125" bestFit="1" customWidth="1"/>
    <col min="13" max="13" width="20" bestFit="1" customWidth="1"/>
    <col min="14" max="14" width="9.85546875" bestFit="1" customWidth="1"/>
  </cols>
  <sheetData>
    <row r="1" spans="1:14">
      <c r="A1" t="s">
        <v>645</v>
      </c>
      <c r="B1" t="s">
        <v>646</v>
      </c>
      <c r="C1" t="s">
        <v>647</v>
      </c>
      <c r="D1" t="s">
        <v>649</v>
      </c>
      <c r="E1" t="s">
        <v>650</v>
      </c>
      <c r="F1" t="s">
        <v>700</v>
      </c>
      <c r="G1" t="s">
        <v>701</v>
      </c>
      <c r="H1" t="s">
        <v>702</v>
      </c>
      <c r="I1" t="s">
        <v>664</v>
      </c>
      <c r="J1" t="s">
        <v>663</v>
      </c>
      <c r="K1" t="s">
        <v>716</v>
      </c>
      <c r="L1" t="s">
        <v>715</v>
      </c>
      <c r="M1" s="15" t="s">
        <v>873</v>
      </c>
      <c r="N1" s="15" t="s">
        <v>874</v>
      </c>
    </row>
    <row r="2" spans="1:14">
      <c r="A2" t="s">
        <v>625</v>
      </c>
      <c r="B2" s="15" t="s">
        <v>735</v>
      </c>
      <c r="C2">
        <v>1</v>
      </c>
      <c r="E2" s="15" t="s">
        <v>654</v>
      </c>
      <c r="F2" t="s">
        <v>739</v>
      </c>
      <c r="M2" s="15" t="s">
        <v>882</v>
      </c>
      <c r="N2">
        <v>3</v>
      </c>
    </row>
    <row r="3" spans="1:14">
      <c r="A3" s="15" t="s">
        <v>479</v>
      </c>
      <c r="B3" s="15" t="s">
        <v>735</v>
      </c>
      <c r="C3">
        <v>1</v>
      </c>
      <c r="E3" s="15" t="s">
        <v>697</v>
      </c>
      <c r="J3" s="15"/>
      <c r="M3" s="15" t="s">
        <v>901</v>
      </c>
      <c r="N3">
        <v>4</v>
      </c>
    </row>
    <row r="4" spans="1:14">
      <c r="A4" t="s">
        <v>38</v>
      </c>
      <c r="B4" s="15" t="s">
        <v>735</v>
      </c>
      <c r="C4">
        <v>2</v>
      </c>
      <c r="E4" s="15" t="s">
        <v>654</v>
      </c>
      <c r="F4" t="s">
        <v>484</v>
      </c>
      <c r="G4" t="s">
        <v>736</v>
      </c>
      <c r="J4" t="s">
        <v>686</v>
      </c>
      <c r="K4" t="s">
        <v>477</v>
      </c>
      <c r="M4" s="15" t="s">
        <v>879</v>
      </c>
      <c r="N4">
        <v>3</v>
      </c>
    </row>
    <row r="5" spans="1:14">
      <c r="A5" t="s">
        <v>341</v>
      </c>
      <c r="B5" s="15" t="s">
        <v>735</v>
      </c>
      <c r="C5">
        <v>2</v>
      </c>
      <c r="E5" s="15" t="s">
        <v>654</v>
      </c>
      <c r="F5" t="s">
        <v>742</v>
      </c>
      <c r="G5" t="s">
        <v>736</v>
      </c>
      <c r="J5" t="s">
        <v>284</v>
      </c>
      <c r="K5" s="15"/>
      <c r="L5" s="15"/>
      <c r="M5" s="15" t="s">
        <v>889</v>
      </c>
      <c r="N5">
        <v>3</v>
      </c>
    </row>
    <row r="6" spans="1:14">
      <c r="A6" s="15" t="s">
        <v>514</v>
      </c>
      <c r="B6" s="15" t="s">
        <v>735</v>
      </c>
      <c r="C6" s="15">
        <v>2</v>
      </c>
      <c r="D6" s="15"/>
      <c r="E6" s="15" t="s">
        <v>697</v>
      </c>
      <c r="F6" s="15"/>
      <c r="G6" s="15"/>
      <c r="H6" s="15"/>
      <c r="I6" s="15"/>
      <c r="J6" s="15"/>
      <c r="K6" s="15" t="s">
        <v>477</v>
      </c>
      <c r="L6" s="15"/>
      <c r="M6" s="15" t="s">
        <v>477</v>
      </c>
      <c r="N6" s="15">
        <v>4</v>
      </c>
    </row>
    <row r="7" spans="1:14">
      <c r="A7" s="15" t="s">
        <v>252</v>
      </c>
      <c r="B7" s="15" t="s">
        <v>735</v>
      </c>
      <c r="C7" s="15">
        <v>2</v>
      </c>
      <c r="D7" s="15"/>
      <c r="E7" s="15" t="s">
        <v>659</v>
      </c>
      <c r="F7" s="15"/>
      <c r="G7" s="15"/>
      <c r="H7" s="15"/>
      <c r="I7" s="15"/>
      <c r="J7" s="15" t="s">
        <v>703</v>
      </c>
      <c r="K7" s="15" t="s">
        <v>477</v>
      </c>
      <c r="L7" s="15"/>
      <c r="M7" s="15" t="s">
        <v>477</v>
      </c>
      <c r="N7">
        <v>4</v>
      </c>
    </row>
    <row r="8" spans="1:14">
      <c r="A8" s="15" t="s">
        <v>342</v>
      </c>
      <c r="B8" s="15" t="s">
        <v>735</v>
      </c>
      <c r="C8">
        <v>2</v>
      </c>
      <c r="E8" s="15" t="s">
        <v>659</v>
      </c>
      <c r="M8" s="15" t="s">
        <v>901</v>
      </c>
      <c r="N8">
        <v>4</v>
      </c>
    </row>
    <row r="9" spans="1:14">
      <c r="A9" s="15" t="s">
        <v>187</v>
      </c>
      <c r="B9" s="15" t="s">
        <v>735</v>
      </c>
      <c r="C9" s="15">
        <v>2</v>
      </c>
      <c r="D9" s="15"/>
      <c r="E9" s="15" t="s">
        <v>659</v>
      </c>
      <c r="F9" s="15"/>
      <c r="G9" s="15"/>
      <c r="H9" s="15"/>
      <c r="I9" s="15"/>
      <c r="J9" s="15"/>
      <c r="K9" s="15" t="s">
        <v>717</v>
      </c>
      <c r="L9" s="15" t="s">
        <v>682</v>
      </c>
      <c r="M9" s="15" t="s">
        <v>477</v>
      </c>
      <c r="N9" s="15">
        <v>2</v>
      </c>
    </row>
    <row r="10" spans="1:14">
      <c r="A10" s="15" t="s">
        <v>907</v>
      </c>
      <c r="B10" s="15" t="s">
        <v>735</v>
      </c>
      <c r="C10" s="15">
        <v>3</v>
      </c>
      <c r="D10" s="15"/>
      <c r="E10" s="15" t="s">
        <v>654</v>
      </c>
      <c r="F10" s="15" t="s">
        <v>749</v>
      </c>
      <c r="G10" s="15"/>
      <c r="H10" s="15"/>
      <c r="I10" s="15" t="s">
        <v>678</v>
      </c>
      <c r="J10" s="15"/>
      <c r="K10" s="15"/>
      <c r="L10" s="15"/>
      <c r="M10" s="15" t="s">
        <v>952</v>
      </c>
      <c r="N10">
        <v>4</v>
      </c>
    </row>
    <row r="11" spans="1:14">
      <c r="A11" s="15" t="s">
        <v>42</v>
      </c>
      <c r="B11" s="15" t="s">
        <v>735</v>
      </c>
      <c r="C11" s="15">
        <v>3</v>
      </c>
      <c r="D11" s="15"/>
      <c r="E11" s="15" t="s">
        <v>654</v>
      </c>
      <c r="F11" s="15" t="s">
        <v>484</v>
      </c>
      <c r="G11" s="15" t="s">
        <v>747</v>
      </c>
      <c r="H11" s="15" t="s">
        <v>653</v>
      </c>
      <c r="I11" s="15" t="s">
        <v>678</v>
      </c>
      <c r="J11" s="15" t="s">
        <v>745</v>
      </c>
      <c r="K11" s="15"/>
      <c r="L11" s="15"/>
      <c r="M11" s="15" t="s">
        <v>954</v>
      </c>
      <c r="N11" s="15">
        <v>4</v>
      </c>
    </row>
    <row r="12" spans="1:14">
      <c r="A12" s="20" t="s">
        <v>269</v>
      </c>
      <c r="B12" s="20" t="s">
        <v>735</v>
      </c>
      <c r="C12" s="20">
        <v>3</v>
      </c>
      <c r="D12" s="20"/>
      <c r="E12" s="20" t="s">
        <v>654</v>
      </c>
      <c r="F12" s="20" t="s">
        <v>750</v>
      </c>
      <c r="G12" s="20"/>
      <c r="H12" s="20"/>
      <c r="I12" s="20" t="s">
        <v>678</v>
      </c>
      <c r="J12" s="20" t="s">
        <v>764</v>
      </c>
      <c r="K12" s="20" t="s">
        <v>477</v>
      </c>
      <c r="L12" s="20" t="s">
        <v>682</v>
      </c>
      <c r="M12" s="20" t="s">
        <v>879</v>
      </c>
      <c r="N12" s="20">
        <v>4</v>
      </c>
    </row>
    <row r="13" spans="1:14">
      <c r="A13" s="15" t="s">
        <v>32</v>
      </c>
      <c r="B13" s="15" t="s">
        <v>735</v>
      </c>
      <c r="C13">
        <v>3</v>
      </c>
      <c r="E13" s="15" t="s">
        <v>654</v>
      </c>
      <c r="F13" s="15" t="s">
        <v>484</v>
      </c>
      <c r="G13" s="15" t="s">
        <v>747</v>
      </c>
      <c r="H13" s="15"/>
      <c r="J13" t="s">
        <v>686</v>
      </c>
      <c r="M13" s="15" t="s">
        <v>952</v>
      </c>
      <c r="N13">
        <v>3</v>
      </c>
    </row>
    <row r="14" spans="1:14">
      <c r="A14" s="15" t="s">
        <v>363</v>
      </c>
      <c r="B14" s="15" t="s">
        <v>735</v>
      </c>
      <c r="C14" s="15">
        <v>3</v>
      </c>
      <c r="D14" s="15"/>
      <c r="E14" s="15" t="s">
        <v>654</v>
      </c>
      <c r="F14" s="15" t="s">
        <v>482</v>
      </c>
      <c r="G14" s="15" t="s">
        <v>822</v>
      </c>
      <c r="H14" s="15" t="s">
        <v>653</v>
      </c>
      <c r="I14" s="15"/>
      <c r="J14" s="15" t="s">
        <v>520</v>
      </c>
      <c r="K14" s="15" t="s">
        <v>477</v>
      </c>
      <c r="L14" s="15"/>
      <c r="M14" s="15" t="s">
        <v>879</v>
      </c>
      <c r="N14" s="15">
        <v>2</v>
      </c>
    </row>
    <row r="15" spans="1:14">
      <c r="A15" s="15" t="s">
        <v>496</v>
      </c>
      <c r="B15" s="15" t="s">
        <v>735</v>
      </c>
      <c r="C15" s="15">
        <v>3</v>
      </c>
      <c r="D15" s="15"/>
      <c r="E15" s="15" t="s">
        <v>697</v>
      </c>
      <c r="F15" s="15"/>
      <c r="G15" s="15"/>
      <c r="H15" s="15"/>
      <c r="I15" s="15"/>
      <c r="J15" s="15"/>
      <c r="K15" s="15" t="s">
        <v>477</v>
      </c>
      <c r="L15" s="15"/>
      <c r="M15" s="15" t="s">
        <v>477</v>
      </c>
      <c r="N15" s="15">
        <v>4</v>
      </c>
    </row>
    <row r="16" spans="1:14">
      <c r="A16" s="15" t="s">
        <v>139</v>
      </c>
      <c r="B16" s="15" t="s">
        <v>735</v>
      </c>
      <c r="C16" s="15">
        <v>3</v>
      </c>
      <c r="D16" s="15"/>
      <c r="E16" s="15" t="s">
        <v>697</v>
      </c>
      <c r="F16" s="15"/>
      <c r="G16" s="15"/>
      <c r="H16" s="15"/>
      <c r="I16" s="15"/>
      <c r="J16" s="15" t="s">
        <v>815</v>
      </c>
      <c r="K16" s="15" t="s">
        <v>477</v>
      </c>
      <c r="L16" s="15"/>
      <c r="M16" s="15" t="s">
        <v>477</v>
      </c>
      <c r="N16" s="15">
        <v>3</v>
      </c>
    </row>
    <row r="17" spans="1:14">
      <c r="A17" s="15" t="s">
        <v>938</v>
      </c>
      <c r="B17" s="15" t="s">
        <v>735</v>
      </c>
      <c r="C17" s="15">
        <v>3</v>
      </c>
      <c r="D17" s="15"/>
      <c r="E17" s="15" t="s">
        <v>697</v>
      </c>
      <c r="F17" s="15"/>
      <c r="G17" s="15"/>
      <c r="H17" s="15"/>
      <c r="I17" s="15"/>
      <c r="J17" s="15"/>
      <c r="K17" s="15" t="s">
        <v>477</v>
      </c>
      <c r="L17" s="15"/>
      <c r="M17" s="15" t="s">
        <v>477</v>
      </c>
      <c r="N17">
        <v>2</v>
      </c>
    </row>
    <row r="18" spans="1:14">
      <c r="A18" s="15" t="s">
        <v>222</v>
      </c>
      <c r="B18" s="15" t="s">
        <v>735</v>
      </c>
      <c r="C18" s="15">
        <v>3</v>
      </c>
      <c r="D18" s="15"/>
      <c r="E18" s="15" t="s">
        <v>659</v>
      </c>
      <c r="F18" s="15"/>
      <c r="G18" s="15"/>
      <c r="H18" s="15"/>
      <c r="I18" s="15"/>
      <c r="J18" s="15"/>
      <c r="K18" s="15"/>
      <c r="L18" s="15"/>
      <c r="M18" s="15" t="s">
        <v>875</v>
      </c>
      <c r="N18" s="15">
        <v>4</v>
      </c>
    </row>
    <row r="19" spans="1:14">
      <c r="A19" s="15" t="s">
        <v>323</v>
      </c>
      <c r="B19" s="15" t="s">
        <v>735</v>
      </c>
      <c r="C19" s="15">
        <v>4</v>
      </c>
      <c r="D19" s="15"/>
      <c r="E19" s="15" t="s">
        <v>654</v>
      </c>
      <c r="F19" s="15" t="s">
        <v>739</v>
      </c>
      <c r="G19" s="15"/>
      <c r="H19" s="15"/>
      <c r="I19" s="15"/>
      <c r="J19" s="15"/>
      <c r="K19" s="15" t="s">
        <v>477</v>
      </c>
      <c r="L19" s="15"/>
      <c r="M19" s="15" t="s">
        <v>879</v>
      </c>
      <c r="N19">
        <v>4</v>
      </c>
    </row>
    <row r="20" spans="1:14">
      <c r="A20" s="15" t="s">
        <v>497</v>
      </c>
      <c r="B20" s="15" t="s">
        <v>735</v>
      </c>
      <c r="C20" s="15">
        <v>4</v>
      </c>
      <c r="D20" s="15"/>
      <c r="E20" s="15" t="s">
        <v>654</v>
      </c>
      <c r="F20" s="15"/>
      <c r="G20" s="15" t="s">
        <v>683</v>
      </c>
      <c r="H20" s="15"/>
      <c r="I20" s="15"/>
      <c r="J20" s="15"/>
      <c r="K20" s="15"/>
      <c r="L20" s="15"/>
      <c r="M20" s="15" t="s">
        <v>952</v>
      </c>
      <c r="N20">
        <v>3</v>
      </c>
    </row>
    <row r="21" spans="1:14">
      <c r="A21" s="15" t="s">
        <v>931</v>
      </c>
      <c r="B21" s="15" t="s">
        <v>735</v>
      </c>
      <c r="C21" s="15">
        <v>4</v>
      </c>
      <c r="D21" s="15"/>
      <c r="E21" s="15" t="s">
        <v>654</v>
      </c>
      <c r="F21" s="15" t="s">
        <v>484</v>
      </c>
      <c r="G21" s="15"/>
      <c r="H21" s="15"/>
      <c r="I21" s="15" t="s">
        <v>678</v>
      </c>
      <c r="J21" s="15"/>
      <c r="K21" s="15"/>
      <c r="L21" s="15"/>
      <c r="M21" s="15" t="s">
        <v>886</v>
      </c>
      <c r="N21">
        <v>2</v>
      </c>
    </row>
    <row r="22" spans="1:14">
      <c r="A22" s="15" t="s">
        <v>607</v>
      </c>
      <c r="B22" s="15" t="s">
        <v>735</v>
      </c>
      <c r="C22" s="15">
        <v>4</v>
      </c>
      <c r="D22" s="15"/>
      <c r="E22" s="15" t="s">
        <v>654</v>
      </c>
      <c r="F22" s="15" t="s">
        <v>484</v>
      </c>
      <c r="G22" s="15"/>
      <c r="H22" s="15"/>
      <c r="I22" s="15" t="s">
        <v>767</v>
      </c>
      <c r="J22" s="15" t="s">
        <v>745</v>
      </c>
      <c r="K22" s="15"/>
      <c r="L22" s="15"/>
      <c r="M22" s="15" t="s">
        <v>954</v>
      </c>
      <c r="N22">
        <v>2</v>
      </c>
    </row>
    <row r="23" spans="1:14">
      <c r="A23" s="15" t="s">
        <v>237</v>
      </c>
      <c r="B23" s="15" t="s">
        <v>735</v>
      </c>
      <c r="C23">
        <v>4</v>
      </c>
      <c r="E23" s="15" t="s">
        <v>654</v>
      </c>
      <c r="F23" s="15" t="s">
        <v>722</v>
      </c>
      <c r="G23" t="s">
        <v>712</v>
      </c>
      <c r="H23" s="15"/>
      <c r="I23" s="15" t="s">
        <v>678</v>
      </c>
      <c r="J23" s="15"/>
      <c r="L23" t="s">
        <v>682</v>
      </c>
      <c r="M23" s="15" t="s">
        <v>904</v>
      </c>
      <c r="N23">
        <v>2</v>
      </c>
    </row>
    <row r="24" spans="1:14">
      <c r="A24" s="15" t="s">
        <v>206</v>
      </c>
      <c r="B24" s="15" t="s">
        <v>735</v>
      </c>
      <c r="C24" s="15">
        <v>4</v>
      </c>
      <c r="D24" s="15"/>
      <c r="E24" s="15" t="s">
        <v>697</v>
      </c>
      <c r="F24" s="15"/>
      <c r="G24" s="15"/>
      <c r="H24" s="15" t="s">
        <v>792</v>
      </c>
      <c r="I24" s="15"/>
      <c r="J24" s="15"/>
      <c r="K24" s="15" t="s">
        <v>477</v>
      </c>
      <c r="L24" s="15"/>
      <c r="M24" s="15" t="s">
        <v>945</v>
      </c>
      <c r="N24">
        <v>4</v>
      </c>
    </row>
    <row r="25" spans="1:14">
      <c r="A25" s="15" t="s">
        <v>239</v>
      </c>
      <c r="B25" s="15" t="s">
        <v>735</v>
      </c>
      <c r="C25" s="15">
        <v>4</v>
      </c>
      <c r="D25" s="15"/>
      <c r="E25" s="15" t="s">
        <v>697</v>
      </c>
      <c r="F25" s="15"/>
      <c r="G25" s="15"/>
      <c r="H25" s="15"/>
      <c r="I25" s="15"/>
      <c r="J25" s="15"/>
      <c r="K25" s="15"/>
      <c r="L25" s="15"/>
      <c r="M25" s="15" t="s">
        <v>884</v>
      </c>
      <c r="N25">
        <v>3</v>
      </c>
    </row>
    <row r="26" spans="1:14">
      <c r="A26" s="15" t="s">
        <v>937</v>
      </c>
      <c r="B26" s="15" t="s">
        <v>735</v>
      </c>
      <c r="C26" s="15">
        <v>4</v>
      </c>
      <c r="D26" s="15"/>
      <c r="E26" s="15" t="s">
        <v>659</v>
      </c>
      <c r="F26" s="15"/>
      <c r="G26" s="15"/>
      <c r="H26" s="15"/>
      <c r="I26" s="15"/>
      <c r="J26" s="15" t="s">
        <v>703</v>
      </c>
      <c r="K26" s="15"/>
      <c r="L26" s="15"/>
      <c r="M26" s="15" t="s">
        <v>904</v>
      </c>
      <c r="N26">
        <v>3</v>
      </c>
    </row>
    <row r="27" spans="1:14">
      <c r="A27" s="15" t="s">
        <v>601</v>
      </c>
      <c r="B27" s="15" t="s">
        <v>735</v>
      </c>
      <c r="C27">
        <v>5</v>
      </c>
      <c r="E27" s="15" t="s">
        <v>654</v>
      </c>
      <c r="F27" s="15" t="s">
        <v>484</v>
      </c>
      <c r="G27" s="15"/>
      <c r="H27" s="15"/>
      <c r="I27" t="s">
        <v>678</v>
      </c>
      <c r="J27" s="15"/>
      <c r="M27" s="15" t="s">
        <v>886</v>
      </c>
      <c r="N27">
        <v>4</v>
      </c>
    </row>
    <row r="28" spans="1:14">
      <c r="A28" s="15" t="s">
        <v>138</v>
      </c>
      <c r="B28" s="15" t="s">
        <v>735</v>
      </c>
      <c r="C28">
        <v>5</v>
      </c>
      <c r="E28" s="15" t="s">
        <v>654</v>
      </c>
      <c r="F28" s="15" t="s">
        <v>728</v>
      </c>
      <c r="G28" s="15"/>
      <c r="H28" s="15"/>
      <c r="I28" t="s">
        <v>755</v>
      </c>
      <c r="J28" s="15" t="s">
        <v>732</v>
      </c>
      <c r="K28" t="s">
        <v>477</v>
      </c>
      <c r="L28" t="s">
        <v>682</v>
      </c>
      <c r="M28" s="15" t="s">
        <v>879</v>
      </c>
      <c r="N28">
        <v>4</v>
      </c>
    </row>
    <row r="29" spans="1:14">
      <c r="A29" s="15" t="s">
        <v>233</v>
      </c>
      <c r="B29" s="15" t="s">
        <v>735</v>
      </c>
      <c r="C29">
        <v>5</v>
      </c>
      <c r="E29" s="15" t="s">
        <v>659</v>
      </c>
      <c r="F29" s="15"/>
      <c r="H29" s="15"/>
      <c r="J29" s="15"/>
      <c r="K29" t="s">
        <v>477</v>
      </c>
      <c r="M29" s="15" t="s">
        <v>477</v>
      </c>
      <c r="N29">
        <v>4</v>
      </c>
    </row>
    <row r="30" spans="1:14">
      <c r="A30" s="15" t="s">
        <v>634</v>
      </c>
      <c r="B30" s="15" t="s">
        <v>735</v>
      </c>
      <c r="C30">
        <v>5</v>
      </c>
      <c r="E30" s="15" t="s">
        <v>659</v>
      </c>
      <c r="F30" s="15"/>
      <c r="G30" s="15"/>
      <c r="H30" s="15"/>
      <c r="J30" t="s">
        <v>703</v>
      </c>
      <c r="M30" s="15" t="s">
        <v>884</v>
      </c>
      <c r="N30">
        <v>3</v>
      </c>
    </row>
    <row r="31" spans="1:14">
      <c r="A31" s="15" t="s">
        <v>127</v>
      </c>
      <c r="B31" s="15" t="s">
        <v>735</v>
      </c>
      <c r="C31" s="15">
        <v>6</v>
      </c>
      <c r="D31" s="15" t="s">
        <v>698</v>
      </c>
      <c r="E31" s="15" t="s">
        <v>699</v>
      </c>
      <c r="F31" s="15"/>
      <c r="G31" s="15"/>
      <c r="H31" s="15"/>
      <c r="I31" s="15"/>
      <c r="J31" s="15"/>
      <c r="K31" s="15" t="s">
        <v>477</v>
      </c>
      <c r="L31" s="15"/>
      <c r="M31" s="15" t="s">
        <v>477</v>
      </c>
      <c r="N31">
        <v>4</v>
      </c>
    </row>
    <row r="32" spans="1:14">
      <c r="A32" s="15" t="s">
        <v>292</v>
      </c>
      <c r="B32" s="15" t="s">
        <v>735</v>
      </c>
      <c r="C32">
        <v>6</v>
      </c>
      <c r="E32" s="15" t="s">
        <v>654</v>
      </c>
      <c r="F32" s="15" t="s">
        <v>737</v>
      </c>
      <c r="H32" s="15"/>
      <c r="I32" s="15"/>
      <c r="J32" s="15"/>
      <c r="M32" s="15" t="s">
        <v>881</v>
      </c>
      <c r="N32">
        <v>4</v>
      </c>
    </row>
    <row r="33" spans="1:14">
      <c r="A33" s="15" t="s">
        <v>592</v>
      </c>
      <c r="B33" s="15" t="s">
        <v>658</v>
      </c>
      <c r="C33" s="15">
        <v>2</v>
      </c>
      <c r="D33" s="15"/>
      <c r="E33" s="15" t="s">
        <v>654</v>
      </c>
      <c r="F33" s="15" t="s">
        <v>482</v>
      </c>
      <c r="G33" s="15" t="s">
        <v>684</v>
      </c>
      <c r="H33" s="15"/>
      <c r="I33" s="15"/>
      <c r="J33" s="15"/>
      <c r="K33" s="15"/>
      <c r="L33" s="15"/>
      <c r="M33" s="15" t="s">
        <v>881</v>
      </c>
      <c r="N33">
        <v>4</v>
      </c>
    </row>
    <row r="34" spans="1:14">
      <c r="A34" s="15" t="s">
        <v>640</v>
      </c>
      <c r="B34" s="15" t="s">
        <v>658</v>
      </c>
      <c r="C34" s="15">
        <v>2</v>
      </c>
      <c r="D34" s="15"/>
      <c r="E34" s="15" t="s">
        <v>654</v>
      </c>
      <c r="F34" s="15" t="s">
        <v>397</v>
      </c>
      <c r="G34" s="15" t="s">
        <v>684</v>
      </c>
      <c r="H34" s="15"/>
      <c r="I34" s="15"/>
      <c r="J34" s="15"/>
      <c r="K34" s="15"/>
      <c r="L34" s="15"/>
      <c r="M34" s="15" t="s">
        <v>881</v>
      </c>
      <c r="N34" s="15">
        <v>4</v>
      </c>
    </row>
    <row r="35" spans="1:14">
      <c r="A35" s="15" t="s">
        <v>109</v>
      </c>
      <c r="B35" s="15" t="s">
        <v>658</v>
      </c>
      <c r="C35" s="15">
        <v>2</v>
      </c>
      <c r="D35" s="15"/>
      <c r="E35" s="15" t="s">
        <v>654</v>
      </c>
      <c r="F35" s="15" t="s">
        <v>482</v>
      </c>
      <c r="G35" s="15" t="s">
        <v>684</v>
      </c>
      <c r="H35" s="15"/>
      <c r="I35" s="15"/>
      <c r="J35" s="15" t="s">
        <v>399</v>
      </c>
      <c r="K35" s="15"/>
      <c r="L35" s="15"/>
      <c r="M35" s="15" t="s">
        <v>889</v>
      </c>
      <c r="N35">
        <v>3</v>
      </c>
    </row>
    <row r="36" spans="1:14">
      <c r="A36" s="15" t="s">
        <v>513</v>
      </c>
      <c r="B36" s="15" t="s">
        <v>658</v>
      </c>
      <c r="C36">
        <v>2</v>
      </c>
      <c r="E36" s="15" t="s">
        <v>654</v>
      </c>
      <c r="F36" t="s">
        <v>661</v>
      </c>
      <c r="I36" t="s">
        <v>679</v>
      </c>
      <c r="J36" s="15"/>
      <c r="K36" s="15"/>
      <c r="M36" s="15" t="s">
        <v>889</v>
      </c>
      <c r="N36">
        <v>3</v>
      </c>
    </row>
    <row r="37" spans="1:14">
      <c r="A37" s="15" t="s">
        <v>909</v>
      </c>
      <c r="B37" s="15" t="s">
        <v>658</v>
      </c>
      <c r="C37">
        <v>2</v>
      </c>
      <c r="E37" s="15" t="s">
        <v>654</v>
      </c>
      <c r="F37" t="s">
        <v>482</v>
      </c>
      <c r="G37" t="s">
        <v>712</v>
      </c>
      <c r="I37" t="s">
        <v>789</v>
      </c>
      <c r="J37" t="s">
        <v>935</v>
      </c>
      <c r="M37" s="15" t="s">
        <v>882</v>
      </c>
      <c r="N37">
        <v>2</v>
      </c>
    </row>
    <row r="38" spans="1:14">
      <c r="A38" s="15" t="s">
        <v>184</v>
      </c>
      <c r="B38" s="15" t="s">
        <v>658</v>
      </c>
      <c r="C38" s="15">
        <v>2</v>
      </c>
      <c r="D38" s="15"/>
      <c r="E38" s="15" t="s">
        <v>697</v>
      </c>
      <c r="F38" s="15"/>
      <c r="G38" s="15"/>
      <c r="H38" s="15"/>
      <c r="I38" s="15"/>
      <c r="J38" s="15"/>
      <c r="K38" s="15"/>
      <c r="L38" s="15"/>
      <c r="M38" s="15" t="s">
        <v>887</v>
      </c>
      <c r="N38">
        <v>4</v>
      </c>
    </row>
    <row r="39" spans="1:14">
      <c r="A39" s="15" t="s">
        <v>617</v>
      </c>
      <c r="B39" s="15" t="s">
        <v>658</v>
      </c>
      <c r="C39" s="15">
        <v>2</v>
      </c>
      <c r="D39" s="15" t="s">
        <v>698</v>
      </c>
      <c r="E39" s="15"/>
      <c r="F39" s="15"/>
      <c r="G39" s="15"/>
      <c r="H39" s="15"/>
      <c r="I39" s="15"/>
      <c r="J39" s="15"/>
      <c r="K39" s="15" t="s">
        <v>717</v>
      </c>
      <c r="L39" s="15"/>
      <c r="M39" s="15" t="s">
        <v>890</v>
      </c>
      <c r="N39">
        <v>3</v>
      </c>
    </row>
    <row r="40" spans="1:14">
      <c r="A40" s="15" t="s">
        <v>621</v>
      </c>
      <c r="B40" s="15" t="s">
        <v>658</v>
      </c>
      <c r="C40" s="15">
        <v>3</v>
      </c>
      <c r="D40" s="15"/>
      <c r="E40" s="15" t="s">
        <v>654</v>
      </c>
      <c r="F40" s="15" t="s">
        <v>676</v>
      </c>
      <c r="G40" s="15"/>
      <c r="H40" s="15"/>
      <c r="I40" s="15" t="s">
        <v>678</v>
      </c>
      <c r="J40" s="15"/>
      <c r="K40" s="15"/>
      <c r="L40" s="15"/>
      <c r="M40" s="15" t="s">
        <v>886</v>
      </c>
      <c r="N40">
        <v>4</v>
      </c>
    </row>
    <row r="41" spans="1:14">
      <c r="A41" s="15" t="s">
        <v>932</v>
      </c>
      <c r="B41" s="15" t="s">
        <v>658</v>
      </c>
      <c r="C41" s="15">
        <v>3</v>
      </c>
      <c r="D41" s="15"/>
      <c r="E41" s="15" t="s">
        <v>654</v>
      </c>
      <c r="F41" s="15" t="s">
        <v>482</v>
      </c>
      <c r="G41" s="15" t="s">
        <v>795</v>
      </c>
      <c r="H41" s="15"/>
      <c r="I41" s="15"/>
      <c r="J41" s="15"/>
      <c r="K41" s="15" t="s">
        <v>717</v>
      </c>
      <c r="L41" s="15"/>
      <c r="M41" s="15" t="s">
        <v>889</v>
      </c>
      <c r="N41" s="15">
        <v>4</v>
      </c>
    </row>
    <row r="42" spans="1:14">
      <c r="A42" s="15" t="s">
        <v>182</v>
      </c>
      <c r="B42" s="15" t="s">
        <v>658</v>
      </c>
      <c r="C42" s="15">
        <v>3</v>
      </c>
      <c r="D42" s="15"/>
      <c r="E42" s="15" t="s">
        <v>654</v>
      </c>
      <c r="F42" s="15" t="s">
        <v>482</v>
      </c>
      <c r="G42" s="15" t="s">
        <v>652</v>
      </c>
      <c r="H42" s="15"/>
      <c r="I42" s="15"/>
      <c r="J42" s="15"/>
      <c r="K42" s="15"/>
      <c r="L42" s="15"/>
      <c r="M42" s="15" t="s">
        <v>881</v>
      </c>
      <c r="N42">
        <v>3</v>
      </c>
    </row>
    <row r="43" spans="1:14">
      <c r="A43" s="15" t="s">
        <v>410</v>
      </c>
      <c r="B43" s="15" t="s">
        <v>658</v>
      </c>
      <c r="C43" s="15">
        <v>3</v>
      </c>
      <c r="D43" s="15"/>
      <c r="E43" s="15" t="s">
        <v>654</v>
      </c>
      <c r="F43" s="15" t="s">
        <v>482</v>
      </c>
      <c r="G43" s="15" t="s">
        <v>684</v>
      </c>
      <c r="H43" s="15"/>
      <c r="I43" s="15"/>
      <c r="J43" s="15"/>
      <c r="K43" s="15"/>
      <c r="L43" s="15"/>
      <c r="M43" s="15" t="s">
        <v>889</v>
      </c>
      <c r="N43">
        <v>3</v>
      </c>
    </row>
    <row r="44" spans="1:14">
      <c r="A44" s="15" t="s">
        <v>443</v>
      </c>
      <c r="B44" s="15" t="s">
        <v>658</v>
      </c>
      <c r="C44" s="15">
        <v>3</v>
      </c>
      <c r="D44" s="15"/>
      <c r="E44" s="15" t="s">
        <v>697</v>
      </c>
      <c r="F44" s="15"/>
      <c r="G44" s="15"/>
      <c r="H44" s="15"/>
      <c r="I44" s="15" t="s">
        <v>723</v>
      </c>
      <c r="J44" s="15"/>
      <c r="K44" s="15" t="s">
        <v>717</v>
      </c>
      <c r="L44" s="15"/>
      <c r="M44" s="15" t="s">
        <v>887</v>
      </c>
      <c r="N44">
        <v>4</v>
      </c>
    </row>
    <row r="45" spans="1:14">
      <c r="A45" s="15" t="s">
        <v>599</v>
      </c>
      <c r="B45" s="15" t="s">
        <v>658</v>
      </c>
      <c r="C45" s="15">
        <v>3</v>
      </c>
      <c r="D45" s="15"/>
      <c r="E45" s="15" t="s">
        <v>697</v>
      </c>
      <c r="F45" s="15"/>
      <c r="G45" s="15"/>
      <c r="H45" s="15"/>
      <c r="I45" s="15"/>
      <c r="J45" s="15"/>
      <c r="K45" s="15" t="s">
        <v>477</v>
      </c>
      <c r="L45" s="15"/>
      <c r="M45" s="15" t="s">
        <v>477</v>
      </c>
      <c r="N45">
        <v>4</v>
      </c>
    </row>
    <row r="46" spans="1:14">
      <c r="A46" s="15" t="s">
        <v>215</v>
      </c>
      <c r="B46" s="15" t="s">
        <v>658</v>
      </c>
      <c r="C46">
        <v>3</v>
      </c>
      <c r="E46" s="15" t="s">
        <v>697</v>
      </c>
      <c r="F46" s="15"/>
      <c r="G46" s="15"/>
      <c r="K46" t="s">
        <v>477</v>
      </c>
      <c r="M46" s="15" t="s">
        <v>898</v>
      </c>
      <c r="N46">
        <v>3</v>
      </c>
    </row>
    <row r="47" spans="1:14">
      <c r="A47" s="15" t="s">
        <v>321</v>
      </c>
      <c r="B47" s="15" t="s">
        <v>658</v>
      </c>
      <c r="C47">
        <v>3</v>
      </c>
      <c r="E47" s="15" t="s">
        <v>697</v>
      </c>
      <c r="F47" s="15"/>
      <c r="G47" s="15"/>
      <c r="J47" s="15"/>
      <c r="K47" s="15"/>
      <c r="M47" s="15" t="s">
        <v>887</v>
      </c>
      <c r="N47">
        <v>2</v>
      </c>
    </row>
    <row r="48" spans="1:14">
      <c r="A48" s="15" t="s">
        <v>22</v>
      </c>
      <c r="B48" s="15" t="s">
        <v>658</v>
      </c>
      <c r="C48" s="15">
        <v>4</v>
      </c>
      <c r="D48" s="15" t="s">
        <v>698</v>
      </c>
      <c r="E48" s="15" t="s">
        <v>699</v>
      </c>
      <c r="F48" s="15"/>
      <c r="G48" s="15"/>
      <c r="H48" s="15"/>
      <c r="I48" s="15"/>
      <c r="J48" s="15"/>
      <c r="K48" s="15" t="s">
        <v>477</v>
      </c>
      <c r="L48" s="15"/>
      <c r="M48" s="15" t="s">
        <v>477</v>
      </c>
      <c r="N48">
        <v>4</v>
      </c>
    </row>
    <row r="49" spans="1:14">
      <c r="A49" s="15" t="s">
        <v>571</v>
      </c>
      <c r="B49" s="15" t="s">
        <v>658</v>
      </c>
      <c r="C49">
        <v>4</v>
      </c>
      <c r="D49" t="s">
        <v>698</v>
      </c>
      <c r="E49" s="15" t="s">
        <v>699</v>
      </c>
      <c r="K49" s="15"/>
      <c r="M49" s="15" t="s">
        <v>895</v>
      </c>
      <c r="N49">
        <v>3</v>
      </c>
    </row>
    <row r="50" spans="1:14">
      <c r="A50" s="15" t="s">
        <v>572</v>
      </c>
      <c r="B50" s="15" t="s">
        <v>658</v>
      </c>
      <c r="C50" s="15">
        <v>4</v>
      </c>
      <c r="D50" s="15"/>
      <c r="E50" s="15" t="s">
        <v>654</v>
      </c>
      <c r="F50" s="15" t="s">
        <v>819</v>
      </c>
      <c r="G50" s="15"/>
      <c r="H50" s="15"/>
      <c r="I50" s="15"/>
      <c r="J50" s="15"/>
      <c r="K50" s="15"/>
      <c r="L50" s="15"/>
      <c r="M50" s="15" t="s">
        <v>889</v>
      </c>
      <c r="N50">
        <v>3</v>
      </c>
    </row>
    <row r="51" spans="1:14">
      <c r="A51" s="15" t="s">
        <v>379</v>
      </c>
      <c r="B51" s="15" t="s">
        <v>658</v>
      </c>
      <c r="C51" s="15">
        <v>4</v>
      </c>
      <c r="D51" s="15"/>
      <c r="E51" s="15" t="s">
        <v>654</v>
      </c>
      <c r="F51" s="15" t="s">
        <v>820</v>
      </c>
      <c r="G51" s="15"/>
      <c r="H51" s="15"/>
      <c r="I51" s="15" t="s">
        <v>678</v>
      </c>
      <c r="J51" s="15" t="s">
        <v>820</v>
      </c>
      <c r="K51" s="15"/>
      <c r="L51" s="15"/>
      <c r="M51" s="15" t="s">
        <v>886</v>
      </c>
      <c r="N51" s="15">
        <v>2</v>
      </c>
    </row>
    <row r="52" spans="1:14">
      <c r="A52" s="15" t="s">
        <v>310</v>
      </c>
      <c r="B52" s="15" t="s">
        <v>658</v>
      </c>
      <c r="C52" s="15">
        <v>4</v>
      </c>
      <c r="D52" s="15"/>
      <c r="E52" s="15" t="s">
        <v>654</v>
      </c>
      <c r="F52" s="15" t="s">
        <v>728</v>
      </c>
      <c r="G52" s="15"/>
      <c r="H52" s="15"/>
      <c r="I52" s="15"/>
      <c r="J52" s="15"/>
      <c r="K52" s="15"/>
      <c r="L52" s="15"/>
      <c r="M52" s="15" t="s">
        <v>889</v>
      </c>
      <c r="N52">
        <v>2</v>
      </c>
    </row>
    <row r="53" spans="1:14">
      <c r="A53" s="15" t="s">
        <v>818</v>
      </c>
      <c r="B53" s="15" t="s">
        <v>658</v>
      </c>
      <c r="C53" s="15">
        <v>4</v>
      </c>
      <c r="D53" s="15"/>
      <c r="E53" s="15" t="s">
        <v>697</v>
      </c>
      <c r="F53" s="15"/>
      <c r="G53" s="15"/>
      <c r="H53" s="15"/>
      <c r="I53" s="15"/>
      <c r="J53" s="15"/>
      <c r="K53" s="15"/>
      <c r="L53" s="15"/>
      <c r="M53" s="15" t="s">
        <v>878</v>
      </c>
      <c r="N53">
        <v>4</v>
      </c>
    </row>
    <row r="54" spans="1:14">
      <c r="A54" s="15" t="s">
        <v>494</v>
      </c>
      <c r="B54" s="15" t="s">
        <v>658</v>
      </c>
      <c r="C54" s="15">
        <v>4</v>
      </c>
      <c r="D54" s="15"/>
      <c r="E54" s="15" t="s">
        <v>659</v>
      </c>
      <c r="F54" s="15"/>
      <c r="G54" s="15"/>
      <c r="H54" s="15"/>
      <c r="I54" s="15" t="s">
        <v>519</v>
      </c>
      <c r="J54" s="15"/>
      <c r="K54" s="15"/>
      <c r="L54" s="15"/>
      <c r="M54" s="15" t="s">
        <v>878</v>
      </c>
      <c r="N54">
        <v>4</v>
      </c>
    </row>
    <row r="55" spans="1:14">
      <c r="A55" s="15" t="s">
        <v>936</v>
      </c>
      <c r="B55" s="15" t="s">
        <v>658</v>
      </c>
      <c r="C55" s="15">
        <v>4</v>
      </c>
      <c r="D55" s="15"/>
      <c r="E55" s="15" t="s">
        <v>659</v>
      </c>
      <c r="F55" s="15"/>
      <c r="G55" s="15"/>
      <c r="H55" s="15"/>
      <c r="I55" s="15"/>
      <c r="J55" s="15" t="s">
        <v>703</v>
      </c>
      <c r="K55" s="15"/>
      <c r="L55" s="15"/>
      <c r="M55" s="15" t="s">
        <v>477</v>
      </c>
      <c r="N55" s="15">
        <v>2</v>
      </c>
    </row>
    <row r="56" spans="1:14">
      <c r="A56" s="15" t="s">
        <v>622</v>
      </c>
      <c r="B56" s="15" t="s">
        <v>658</v>
      </c>
      <c r="C56" s="15">
        <v>5</v>
      </c>
      <c r="D56" s="15"/>
      <c r="E56" s="15" t="s">
        <v>654</v>
      </c>
      <c r="F56" s="15" t="s">
        <v>674</v>
      </c>
      <c r="G56" s="15"/>
      <c r="H56" s="15"/>
      <c r="I56" s="15" t="s">
        <v>678</v>
      </c>
      <c r="J56" s="15"/>
      <c r="K56" s="15" t="s">
        <v>717</v>
      </c>
      <c r="L56" s="15"/>
      <c r="M56" s="15" t="s">
        <v>890</v>
      </c>
      <c r="N56" s="15">
        <v>4</v>
      </c>
    </row>
    <row r="57" spans="1:14">
      <c r="A57" s="15" t="s">
        <v>251</v>
      </c>
      <c r="B57" s="15" t="s">
        <v>658</v>
      </c>
      <c r="C57">
        <v>5</v>
      </c>
      <c r="D57" s="15"/>
      <c r="E57" s="15" t="s">
        <v>654</v>
      </c>
      <c r="G57" t="s">
        <v>709</v>
      </c>
      <c r="I57" t="s">
        <v>678</v>
      </c>
      <c r="J57" t="s">
        <v>733</v>
      </c>
      <c r="M57" s="15" t="s">
        <v>950</v>
      </c>
      <c r="N57">
        <v>2</v>
      </c>
    </row>
    <row r="58" spans="1:14">
      <c r="A58" s="15" t="s">
        <v>304</v>
      </c>
      <c r="B58" s="15" t="s">
        <v>658</v>
      </c>
      <c r="C58" s="15">
        <v>5</v>
      </c>
      <c r="D58" s="15"/>
      <c r="E58" s="15" t="s">
        <v>654</v>
      </c>
      <c r="F58" s="15" t="s">
        <v>728</v>
      </c>
      <c r="G58" s="15"/>
      <c r="H58" s="15"/>
      <c r="I58" s="15" t="s">
        <v>678</v>
      </c>
      <c r="J58" s="15"/>
      <c r="K58" s="15"/>
      <c r="L58" s="15"/>
      <c r="M58" s="15" t="s">
        <v>886</v>
      </c>
      <c r="N58">
        <v>2</v>
      </c>
    </row>
    <row r="59" spans="1:14">
      <c r="A59" s="15" t="s">
        <v>275</v>
      </c>
      <c r="B59" s="15" t="s">
        <v>658</v>
      </c>
      <c r="C59" s="15">
        <v>5</v>
      </c>
      <c r="D59" s="15"/>
      <c r="E59" s="15" t="s">
        <v>654</v>
      </c>
      <c r="F59" s="15" t="s">
        <v>720</v>
      </c>
      <c r="G59" s="15"/>
      <c r="H59" s="15"/>
      <c r="I59" s="15" t="s">
        <v>678</v>
      </c>
      <c r="J59" s="15"/>
      <c r="K59" s="15"/>
      <c r="L59" s="15"/>
      <c r="M59" s="15" t="s">
        <v>886</v>
      </c>
      <c r="N59">
        <v>2</v>
      </c>
    </row>
    <row r="60" spans="1:14">
      <c r="A60" s="15" t="s">
        <v>614</v>
      </c>
      <c r="B60" s="15" t="s">
        <v>658</v>
      </c>
      <c r="C60">
        <v>5</v>
      </c>
      <c r="E60" s="15" t="s">
        <v>659</v>
      </c>
      <c r="F60" s="15"/>
      <c r="I60" s="15"/>
      <c r="M60" s="15" t="s">
        <v>878</v>
      </c>
      <c r="N60">
        <v>3</v>
      </c>
    </row>
    <row r="61" spans="1:14">
      <c r="A61" s="15" t="s">
        <v>355</v>
      </c>
      <c r="B61" s="15" t="s">
        <v>658</v>
      </c>
      <c r="C61">
        <v>6</v>
      </c>
      <c r="D61" t="s">
        <v>698</v>
      </c>
      <c r="E61" s="15" t="s">
        <v>699</v>
      </c>
      <c r="G61" s="15"/>
      <c r="I61" s="15"/>
      <c r="J61" s="15"/>
      <c r="K61" t="s">
        <v>477</v>
      </c>
      <c r="M61" s="15" t="s">
        <v>477</v>
      </c>
      <c r="N61">
        <v>4</v>
      </c>
    </row>
    <row r="62" spans="1:14">
      <c r="A62" s="15" t="s">
        <v>934</v>
      </c>
      <c r="B62" s="15" t="s">
        <v>658</v>
      </c>
      <c r="C62" s="15">
        <v>6</v>
      </c>
      <c r="D62" s="15"/>
      <c r="E62" s="15" t="s">
        <v>654</v>
      </c>
      <c r="F62" s="15" t="s">
        <v>739</v>
      </c>
      <c r="G62" s="15" t="s">
        <v>784</v>
      </c>
      <c r="H62" s="15"/>
      <c r="I62" s="15"/>
      <c r="J62" s="15" t="s">
        <v>790</v>
      </c>
      <c r="K62" s="15"/>
      <c r="L62" s="15"/>
      <c r="M62" s="15" t="s">
        <v>661</v>
      </c>
      <c r="N62">
        <v>3</v>
      </c>
    </row>
    <row r="63" spans="1:14">
      <c r="A63" s="15" t="s">
        <v>575</v>
      </c>
      <c r="B63" s="15" t="s">
        <v>658</v>
      </c>
      <c r="C63">
        <v>6</v>
      </c>
      <c r="E63" s="15" t="s">
        <v>654</v>
      </c>
      <c r="F63" t="s">
        <v>676</v>
      </c>
      <c r="I63" t="s">
        <v>678</v>
      </c>
      <c r="J63" t="s">
        <v>690</v>
      </c>
      <c r="M63" s="15" t="s">
        <v>886</v>
      </c>
      <c r="N63">
        <v>3</v>
      </c>
    </row>
    <row r="64" spans="1:14">
      <c r="A64" s="15" t="s">
        <v>525</v>
      </c>
      <c r="B64" s="15" t="s">
        <v>760</v>
      </c>
      <c r="C64">
        <v>0</v>
      </c>
      <c r="D64" s="15"/>
      <c r="E64" s="15" t="s">
        <v>812</v>
      </c>
      <c r="K64" s="15"/>
      <c r="M64" s="15" t="s">
        <v>953</v>
      </c>
      <c r="N64">
        <v>4</v>
      </c>
    </row>
    <row r="65" spans="1:14">
      <c r="A65" s="15" t="s">
        <v>526</v>
      </c>
      <c r="B65" s="15" t="s">
        <v>760</v>
      </c>
      <c r="C65" s="15">
        <v>0</v>
      </c>
      <c r="D65" s="15"/>
      <c r="E65" s="15" t="s">
        <v>812</v>
      </c>
      <c r="F65" s="15"/>
      <c r="G65" s="15"/>
      <c r="H65" s="15"/>
      <c r="I65" s="15"/>
      <c r="J65" s="15"/>
      <c r="K65" s="15"/>
      <c r="L65" s="15"/>
      <c r="M65" s="15" t="s">
        <v>953</v>
      </c>
      <c r="N65">
        <v>4</v>
      </c>
    </row>
    <row r="66" spans="1:14">
      <c r="A66" s="15" t="s">
        <v>527</v>
      </c>
      <c r="B66" s="15" t="s">
        <v>760</v>
      </c>
      <c r="C66">
        <v>0</v>
      </c>
      <c r="E66" s="15" t="s">
        <v>812</v>
      </c>
      <c r="F66" s="15"/>
      <c r="H66" s="15"/>
      <c r="J66" s="15"/>
      <c r="M66" s="15" t="s">
        <v>953</v>
      </c>
      <c r="N66">
        <v>4</v>
      </c>
    </row>
    <row r="67" spans="1:14">
      <c r="A67" s="15" t="s">
        <v>528</v>
      </c>
      <c r="B67" s="15" t="s">
        <v>760</v>
      </c>
      <c r="C67" s="15">
        <v>0</v>
      </c>
      <c r="D67" s="15"/>
      <c r="E67" s="15" t="s">
        <v>812</v>
      </c>
      <c r="F67" s="15"/>
      <c r="G67" s="15"/>
      <c r="H67" s="15"/>
      <c r="I67" s="15"/>
      <c r="J67" s="15"/>
      <c r="K67" s="15"/>
      <c r="L67" s="15"/>
      <c r="M67" s="15" t="s">
        <v>953</v>
      </c>
      <c r="N67">
        <v>4</v>
      </c>
    </row>
    <row r="68" spans="1:14">
      <c r="A68" s="15" t="s">
        <v>529</v>
      </c>
      <c r="B68" s="15" t="s">
        <v>760</v>
      </c>
      <c r="C68" s="15">
        <v>0</v>
      </c>
      <c r="D68" s="15"/>
      <c r="E68" s="15" t="s">
        <v>812</v>
      </c>
      <c r="F68" s="15"/>
      <c r="G68" s="15"/>
      <c r="H68" s="15"/>
      <c r="I68" s="15"/>
      <c r="J68" s="15"/>
      <c r="K68" s="15"/>
      <c r="L68" s="15"/>
      <c r="M68" s="15" t="s">
        <v>953</v>
      </c>
      <c r="N68">
        <v>4</v>
      </c>
    </row>
    <row r="69" spans="1:14">
      <c r="A69" s="15" t="s">
        <v>588</v>
      </c>
      <c r="B69" s="15" t="s">
        <v>760</v>
      </c>
      <c r="C69" s="15">
        <v>0</v>
      </c>
      <c r="D69" s="15"/>
      <c r="E69" s="15" t="s">
        <v>812</v>
      </c>
      <c r="F69" s="15"/>
      <c r="G69" s="15"/>
      <c r="H69" s="15"/>
      <c r="I69" s="15"/>
      <c r="J69" s="15"/>
      <c r="K69" s="15"/>
      <c r="L69" s="15"/>
      <c r="M69" s="15" t="s">
        <v>902</v>
      </c>
      <c r="N69">
        <v>3</v>
      </c>
    </row>
    <row r="70" spans="1:14">
      <c r="A70" s="15" t="s">
        <v>360</v>
      </c>
      <c r="B70" s="15" t="s">
        <v>760</v>
      </c>
      <c r="C70" s="15">
        <v>0</v>
      </c>
      <c r="D70" s="15"/>
      <c r="E70" s="15" t="s">
        <v>812</v>
      </c>
      <c r="F70" s="15"/>
      <c r="G70" s="15"/>
      <c r="H70" s="15"/>
      <c r="I70" s="15"/>
      <c r="J70" s="15"/>
      <c r="K70" s="15" t="s">
        <v>477</v>
      </c>
      <c r="L70" s="15" t="s">
        <v>682</v>
      </c>
      <c r="M70" s="15" t="s">
        <v>903</v>
      </c>
      <c r="N70">
        <v>3</v>
      </c>
    </row>
    <row r="71" spans="1:14">
      <c r="A71" s="20" t="s">
        <v>385</v>
      </c>
      <c r="B71" s="20" t="s">
        <v>760</v>
      </c>
      <c r="C71" s="20">
        <v>0</v>
      </c>
      <c r="D71" s="20"/>
      <c r="E71" s="20" t="s">
        <v>812</v>
      </c>
      <c r="F71" s="20"/>
      <c r="G71" s="20"/>
      <c r="H71" s="20"/>
      <c r="I71" s="20"/>
      <c r="J71" s="20"/>
      <c r="K71" s="20" t="s">
        <v>477</v>
      </c>
      <c r="L71" s="20" t="s">
        <v>682</v>
      </c>
      <c r="M71" s="15" t="s">
        <v>903</v>
      </c>
      <c r="N71">
        <v>3</v>
      </c>
    </row>
    <row r="72" spans="1:14">
      <c r="A72" s="15" t="s">
        <v>339</v>
      </c>
      <c r="B72" s="15" t="s">
        <v>760</v>
      </c>
      <c r="C72" s="15">
        <v>0</v>
      </c>
      <c r="D72" s="15"/>
      <c r="E72" s="15" t="s">
        <v>812</v>
      </c>
      <c r="F72" s="15"/>
      <c r="G72" s="15"/>
      <c r="H72" s="15"/>
      <c r="I72" s="15"/>
      <c r="J72" s="15"/>
      <c r="K72" s="15"/>
      <c r="L72" s="15"/>
      <c r="M72" s="15" t="s">
        <v>889</v>
      </c>
      <c r="N72">
        <v>3</v>
      </c>
    </row>
    <row r="73" spans="1:14">
      <c r="A73" s="20" t="s">
        <v>359</v>
      </c>
      <c r="B73" s="20" t="s">
        <v>760</v>
      </c>
      <c r="C73" s="20">
        <v>0</v>
      </c>
      <c r="D73" s="20"/>
      <c r="E73" s="20" t="s">
        <v>812</v>
      </c>
      <c r="F73" s="20"/>
      <c r="G73" s="20"/>
      <c r="H73" s="20"/>
      <c r="I73" s="20"/>
      <c r="J73" s="20"/>
      <c r="K73" s="20"/>
      <c r="L73" s="20"/>
      <c r="M73" s="20" t="s">
        <v>889</v>
      </c>
      <c r="N73" s="20">
        <v>3</v>
      </c>
    </row>
    <row r="74" spans="1:14">
      <c r="A74" s="15" t="s">
        <v>338</v>
      </c>
      <c r="B74" t="s">
        <v>760</v>
      </c>
      <c r="C74">
        <v>0</v>
      </c>
      <c r="E74" s="15" t="s">
        <v>812</v>
      </c>
      <c r="F74" s="15"/>
      <c r="G74" s="15"/>
      <c r="I74" s="15"/>
      <c r="J74" s="15"/>
      <c r="M74" s="15" t="s">
        <v>880</v>
      </c>
      <c r="N74">
        <v>2</v>
      </c>
    </row>
    <row r="75" spans="1:14">
      <c r="A75" s="15" t="s">
        <v>137</v>
      </c>
      <c r="B75" s="15" t="s">
        <v>760</v>
      </c>
      <c r="C75" s="15">
        <v>0</v>
      </c>
      <c r="D75" s="15"/>
      <c r="E75" s="15" t="s">
        <v>812</v>
      </c>
      <c r="F75" s="15"/>
      <c r="G75" s="15"/>
      <c r="H75" s="15"/>
      <c r="I75" s="15"/>
      <c r="J75" s="15"/>
      <c r="K75" s="15"/>
      <c r="L75" s="15"/>
      <c r="M75" s="15" t="s">
        <v>880</v>
      </c>
      <c r="N75" s="15">
        <v>2</v>
      </c>
    </row>
    <row r="76" spans="1:14">
      <c r="A76" s="15" t="s">
        <v>423</v>
      </c>
      <c r="B76" s="15" t="s">
        <v>760</v>
      </c>
      <c r="C76" s="15">
        <v>0</v>
      </c>
      <c r="D76" s="15"/>
      <c r="E76" s="15" t="s">
        <v>812</v>
      </c>
      <c r="F76" s="15"/>
      <c r="G76" s="15"/>
      <c r="H76" s="15"/>
      <c r="I76" s="15"/>
      <c r="J76" s="15"/>
      <c r="K76" s="15"/>
      <c r="L76" s="15"/>
      <c r="M76" s="15" t="s">
        <v>949</v>
      </c>
      <c r="N76" s="15">
        <v>2</v>
      </c>
    </row>
    <row r="77" spans="1:14">
      <c r="A77" s="15" t="s">
        <v>365</v>
      </c>
      <c r="B77" t="s">
        <v>760</v>
      </c>
      <c r="C77">
        <v>0</v>
      </c>
      <c r="E77" s="15" t="s">
        <v>812</v>
      </c>
      <c r="F77" s="15"/>
      <c r="G77" s="15"/>
      <c r="J77" s="15" t="s">
        <v>399</v>
      </c>
      <c r="K77" s="15"/>
      <c r="L77" s="15"/>
      <c r="M77" s="15" t="s">
        <v>889</v>
      </c>
      <c r="N77">
        <v>2</v>
      </c>
    </row>
    <row r="78" spans="1:14">
      <c r="A78" s="15" t="s">
        <v>358</v>
      </c>
      <c r="B78" s="15" t="s">
        <v>760</v>
      </c>
      <c r="C78" s="15">
        <v>0</v>
      </c>
      <c r="D78" s="15"/>
      <c r="E78" s="15" t="s">
        <v>812</v>
      </c>
      <c r="F78" s="15"/>
      <c r="G78" s="15"/>
      <c r="H78" s="15"/>
      <c r="I78" s="15"/>
      <c r="J78" s="15"/>
      <c r="K78" s="15"/>
      <c r="L78" s="15"/>
      <c r="M78" s="15" t="s">
        <v>889</v>
      </c>
      <c r="N78">
        <v>2</v>
      </c>
    </row>
    <row r="79" spans="1:14">
      <c r="A79" s="15" t="s">
        <v>150</v>
      </c>
      <c r="B79" t="s">
        <v>760</v>
      </c>
      <c r="C79">
        <v>1</v>
      </c>
      <c r="D79" t="s">
        <v>660</v>
      </c>
      <c r="E79" s="15"/>
      <c r="F79" s="15"/>
      <c r="G79" s="15"/>
      <c r="I79" s="15"/>
      <c r="J79" s="15"/>
      <c r="K79" s="15"/>
      <c r="M79" s="15" t="s">
        <v>902</v>
      </c>
      <c r="N79">
        <v>4</v>
      </c>
    </row>
    <row r="80" spans="1:14">
      <c r="A80" s="15" t="s">
        <v>306</v>
      </c>
      <c r="B80" t="s">
        <v>760</v>
      </c>
      <c r="C80">
        <v>1</v>
      </c>
      <c r="D80" t="s">
        <v>660</v>
      </c>
      <c r="E80" s="15"/>
      <c r="F80" s="15"/>
      <c r="G80" s="15"/>
      <c r="I80" s="15"/>
      <c r="J80" s="15"/>
      <c r="L80" s="15"/>
      <c r="M80" s="15" t="s">
        <v>889</v>
      </c>
      <c r="N80">
        <v>3</v>
      </c>
    </row>
    <row r="81" spans="1:14">
      <c r="A81" s="15" t="s">
        <v>159</v>
      </c>
      <c r="B81" s="15" t="s">
        <v>760</v>
      </c>
      <c r="C81" s="15">
        <v>1</v>
      </c>
      <c r="D81" s="15" t="s">
        <v>660</v>
      </c>
      <c r="E81" s="15"/>
      <c r="F81" s="15"/>
      <c r="G81" s="15"/>
      <c r="H81" s="15"/>
      <c r="I81" s="15"/>
      <c r="J81" s="15"/>
      <c r="K81" s="15"/>
      <c r="L81" s="15"/>
      <c r="M81" s="15" t="s">
        <v>901</v>
      </c>
      <c r="N81">
        <v>3</v>
      </c>
    </row>
    <row r="82" spans="1:14">
      <c r="A82" s="15" t="s">
        <v>175</v>
      </c>
      <c r="B82" s="15" t="s">
        <v>760</v>
      </c>
      <c r="C82" s="15">
        <v>2</v>
      </c>
      <c r="D82" s="15" t="s">
        <v>660</v>
      </c>
      <c r="E82" s="15" t="s">
        <v>810</v>
      </c>
      <c r="F82" s="15"/>
      <c r="G82" s="15"/>
      <c r="H82" s="15"/>
      <c r="I82" s="15"/>
      <c r="J82" s="15"/>
      <c r="K82" s="15"/>
      <c r="L82" s="15"/>
      <c r="M82" s="15" t="s">
        <v>810</v>
      </c>
      <c r="N82">
        <v>4</v>
      </c>
    </row>
    <row r="83" spans="1:14">
      <c r="A83" s="15" t="s">
        <v>413</v>
      </c>
      <c r="B83" s="15" t="s">
        <v>760</v>
      </c>
      <c r="C83" s="15">
        <v>2</v>
      </c>
      <c r="D83" s="15" t="s">
        <v>660</v>
      </c>
      <c r="E83" s="15" t="s">
        <v>810</v>
      </c>
      <c r="F83" s="15"/>
      <c r="G83" s="15"/>
      <c r="H83" s="15"/>
      <c r="I83" s="15" t="s">
        <v>847</v>
      </c>
      <c r="J83" s="15"/>
      <c r="K83" s="15" t="s">
        <v>477</v>
      </c>
      <c r="L83" s="15" t="s">
        <v>682</v>
      </c>
      <c r="M83" s="15" t="s">
        <v>898</v>
      </c>
      <c r="N83">
        <v>3</v>
      </c>
    </row>
    <row r="84" spans="1:14">
      <c r="A84" s="15" t="s">
        <v>419</v>
      </c>
      <c r="B84" s="15" t="s">
        <v>760</v>
      </c>
      <c r="C84" s="15">
        <v>2</v>
      </c>
      <c r="D84" s="15" t="s">
        <v>660</v>
      </c>
      <c r="E84" s="15" t="s">
        <v>810</v>
      </c>
      <c r="F84" s="15"/>
      <c r="G84" s="15"/>
      <c r="H84" s="15"/>
      <c r="I84" s="15"/>
      <c r="J84" s="15"/>
      <c r="K84" s="15" t="s">
        <v>717</v>
      </c>
      <c r="L84" s="15"/>
      <c r="M84" s="15" t="s">
        <v>810</v>
      </c>
      <c r="N84">
        <v>3</v>
      </c>
    </row>
    <row r="85" spans="1:14">
      <c r="A85" s="15" t="s">
        <v>509</v>
      </c>
      <c r="B85" s="15" t="s">
        <v>760</v>
      </c>
      <c r="C85" s="15">
        <v>2</v>
      </c>
      <c r="D85" s="15" t="s">
        <v>660</v>
      </c>
      <c r="E85" s="15" t="s">
        <v>810</v>
      </c>
      <c r="F85" s="15"/>
      <c r="G85" s="15"/>
      <c r="H85" s="15"/>
      <c r="I85" s="15"/>
      <c r="J85" s="15"/>
      <c r="K85" s="15"/>
      <c r="L85" s="15"/>
      <c r="M85" s="15" t="s">
        <v>894</v>
      </c>
      <c r="N85">
        <v>3</v>
      </c>
    </row>
    <row r="86" spans="1:14">
      <c r="A86" s="15" t="s">
        <v>375</v>
      </c>
      <c r="B86" s="15" t="s">
        <v>760</v>
      </c>
      <c r="C86" s="15">
        <v>2</v>
      </c>
      <c r="D86" s="15" t="s">
        <v>660</v>
      </c>
      <c r="E86" s="15"/>
      <c r="F86" s="15"/>
      <c r="G86" s="15"/>
      <c r="H86" s="15"/>
      <c r="I86" s="15"/>
      <c r="J86" s="15"/>
      <c r="K86" s="15"/>
      <c r="L86" s="15" t="s">
        <v>682</v>
      </c>
      <c r="M86" s="15" t="s">
        <v>878</v>
      </c>
      <c r="N86" s="15">
        <v>4</v>
      </c>
    </row>
    <row r="87" spans="1:14">
      <c r="A87" s="20" t="s">
        <v>951</v>
      </c>
      <c r="B87" s="20" t="s">
        <v>760</v>
      </c>
      <c r="C87" s="20">
        <v>2</v>
      </c>
      <c r="D87" s="20" t="s">
        <v>660</v>
      </c>
      <c r="E87" s="20"/>
      <c r="F87" s="20"/>
      <c r="G87" s="20"/>
      <c r="H87" s="20"/>
      <c r="I87" s="20"/>
      <c r="J87" s="20"/>
      <c r="K87" s="20" t="s">
        <v>477</v>
      </c>
      <c r="L87" s="20"/>
      <c r="M87" s="15" t="s">
        <v>898</v>
      </c>
      <c r="N87" s="15">
        <v>3</v>
      </c>
    </row>
    <row r="88" spans="1:14">
      <c r="A88" s="15" t="s">
        <v>871</v>
      </c>
      <c r="B88" s="15" t="s">
        <v>760</v>
      </c>
      <c r="C88" s="15">
        <v>2</v>
      </c>
      <c r="D88" s="15" t="s">
        <v>660</v>
      </c>
      <c r="E88" s="15"/>
      <c r="F88" s="15"/>
      <c r="G88" s="15"/>
      <c r="H88" s="15"/>
      <c r="I88" s="15"/>
      <c r="J88" s="15"/>
      <c r="K88" s="15"/>
      <c r="L88" s="15"/>
      <c r="M88" s="15" t="s">
        <v>902</v>
      </c>
      <c r="N88">
        <v>3</v>
      </c>
    </row>
    <row r="89" spans="1:14">
      <c r="A89" s="15" t="s">
        <v>566</v>
      </c>
      <c r="B89" s="15" t="s">
        <v>760</v>
      </c>
      <c r="C89" s="15">
        <v>2</v>
      </c>
      <c r="D89" s="15" t="s">
        <v>660</v>
      </c>
      <c r="E89" s="15"/>
      <c r="F89" s="15"/>
      <c r="G89" s="15"/>
      <c r="H89" s="15"/>
      <c r="I89" s="15"/>
      <c r="J89" s="15"/>
      <c r="K89" s="15"/>
      <c r="L89" s="15" t="s">
        <v>682</v>
      </c>
      <c r="M89" s="15" t="s">
        <v>904</v>
      </c>
      <c r="N89" s="15">
        <v>3</v>
      </c>
    </row>
    <row r="90" spans="1:14">
      <c r="A90" s="15" t="s">
        <v>872</v>
      </c>
      <c r="B90" s="15" t="s">
        <v>760</v>
      </c>
      <c r="C90" s="15">
        <v>2</v>
      </c>
      <c r="D90" s="15" t="s">
        <v>660</v>
      </c>
      <c r="E90" s="15"/>
      <c r="F90" s="15"/>
      <c r="G90" s="15"/>
      <c r="H90" s="15"/>
      <c r="I90" s="15"/>
      <c r="J90" s="15"/>
      <c r="K90" s="15"/>
      <c r="L90" s="15" t="s">
        <v>682</v>
      </c>
      <c r="M90" s="15" t="s">
        <v>904</v>
      </c>
      <c r="N90">
        <v>3</v>
      </c>
    </row>
    <row r="91" spans="1:14">
      <c r="A91" s="15" t="s">
        <v>340</v>
      </c>
      <c r="B91" s="15" t="s">
        <v>760</v>
      </c>
      <c r="C91" s="15">
        <v>2</v>
      </c>
      <c r="D91" s="15" t="s">
        <v>660</v>
      </c>
      <c r="E91" s="15"/>
      <c r="F91" s="15"/>
      <c r="G91" s="15"/>
      <c r="H91" s="15"/>
      <c r="I91" s="15"/>
      <c r="J91" s="15"/>
      <c r="K91" s="15" t="s">
        <v>477</v>
      </c>
      <c r="L91" s="15"/>
      <c r="M91" s="15" t="s">
        <v>519</v>
      </c>
      <c r="N91">
        <v>2</v>
      </c>
    </row>
    <row r="92" spans="1:14">
      <c r="A92" s="15" t="s">
        <v>192</v>
      </c>
      <c r="B92" s="15" t="s">
        <v>760</v>
      </c>
      <c r="C92" s="15">
        <v>2</v>
      </c>
      <c r="D92" s="15" t="s">
        <v>660</v>
      </c>
      <c r="E92" s="15"/>
      <c r="F92" s="15"/>
      <c r="G92" s="15"/>
      <c r="H92" s="15"/>
      <c r="I92" s="15"/>
      <c r="J92" s="15"/>
      <c r="K92" s="15" t="s">
        <v>477</v>
      </c>
      <c r="L92" s="15"/>
      <c r="M92" s="15" t="s">
        <v>477</v>
      </c>
      <c r="N92">
        <v>2</v>
      </c>
    </row>
    <row r="93" spans="1:14">
      <c r="A93" s="15" t="s">
        <v>173</v>
      </c>
      <c r="B93" s="15" t="s">
        <v>760</v>
      </c>
      <c r="C93" s="15">
        <v>2</v>
      </c>
      <c r="D93" s="15" t="s">
        <v>660</v>
      </c>
      <c r="E93" s="15"/>
      <c r="F93" s="15"/>
      <c r="G93" s="15"/>
      <c r="H93" s="15"/>
      <c r="I93" s="15" t="s">
        <v>848</v>
      </c>
      <c r="J93" s="15"/>
      <c r="K93" s="15"/>
      <c r="L93" s="15"/>
      <c r="M93" s="15" t="s">
        <v>889</v>
      </c>
      <c r="N93" s="15">
        <v>2</v>
      </c>
    </row>
    <row r="94" spans="1:14">
      <c r="A94" s="15" t="s">
        <v>209</v>
      </c>
      <c r="B94" s="15" t="s">
        <v>760</v>
      </c>
      <c r="C94" s="15">
        <v>3</v>
      </c>
      <c r="D94" s="15" t="s">
        <v>660</v>
      </c>
      <c r="E94" s="15" t="s">
        <v>810</v>
      </c>
      <c r="F94" s="15"/>
      <c r="G94" s="15"/>
      <c r="H94" s="15"/>
      <c r="I94" s="15"/>
      <c r="J94" s="15"/>
      <c r="K94" s="15"/>
      <c r="L94" s="15"/>
      <c r="M94" s="15" t="s">
        <v>894</v>
      </c>
      <c r="N94" s="15">
        <v>4</v>
      </c>
    </row>
    <row r="95" spans="1:14">
      <c r="A95" s="15" t="s">
        <v>204</v>
      </c>
      <c r="B95" s="15" t="s">
        <v>760</v>
      </c>
      <c r="C95" s="15">
        <v>3</v>
      </c>
      <c r="D95" s="15" t="s">
        <v>660</v>
      </c>
      <c r="E95" s="15" t="s">
        <v>810</v>
      </c>
      <c r="F95" s="15"/>
      <c r="G95" s="15"/>
      <c r="H95" s="15"/>
      <c r="I95" s="15"/>
      <c r="J95" s="15"/>
      <c r="K95" s="15"/>
      <c r="L95" s="15"/>
      <c r="M95" s="15" t="s">
        <v>894</v>
      </c>
      <c r="N95" s="15">
        <v>3</v>
      </c>
    </row>
    <row r="96" spans="1:14">
      <c r="A96" s="15" t="s">
        <v>518</v>
      </c>
      <c r="B96" s="15" t="s">
        <v>760</v>
      </c>
      <c r="C96" s="15">
        <v>3</v>
      </c>
      <c r="D96" s="15" t="s">
        <v>660</v>
      </c>
      <c r="E96" s="15" t="s">
        <v>810</v>
      </c>
      <c r="F96" s="15"/>
      <c r="G96" s="15"/>
      <c r="H96" s="15"/>
      <c r="I96" s="15"/>
      <c r="J96" s="15"/>
      <c r="K96" s="15"/>
      <c r="L96" s="15" t="s">
        <v>682</v>
      </c>
      <c r="M96" s="15" t="s">
        <v>894</v>
      </c>
      <c r="N96" s="15">
        <v>2</v>
      </c>
    </row>
    <row r="97" spans="1:14">
      <c r="A97" s="15" t="s">
        <v>216</v>
      </c>
      <c r="B97" s="15" t="s">
        <v>760</v>
      </c>
      <c r="C97" s="15">
        <v>3</v>
      </c>
      <c r="D97" s="15" t="s">
        <v>660</v>
      </c>
      <c r="E97" s="15" t="s">
        <v>810</v>
      </c>
      <c r="F97" s="15"/>
      <c r="G97" s="15"/>
      <c r="H97" s="15"/>
      <c r="I97" s="15"/>
      <c r="J97" s="15"/>
      <c r="K97" s="15"/>
      <c r="L97" s="15"/>
      <c r="M97" s="15" t="s">
        <v>894</v>
      </c>
      <c r="N97">
        <v>2</v>
      </c>
    </row>
    <row r="98" spans="1:14">
      <c r="A98" s="15" t="s">
        <v>198</v>
      </c>
      <c r="B98" s="15" t="s">
        <v>760</v>
      </c>
      <c r="C98" s="15">
        <v>3</v>
      </c>
      <c r="D98" s="15" t="s">
        <v>660</v>
      </c>
      <c r="E98" s="15"/>
      <c r="F98" s="15"/>
      <c r="G98" s="15"/>
      <c r="H98" s="15"/>
      <c r="I98" s="15"/>
      <c r="J98" s="15"/>
      <c r="K98" s="15"/>
      <c r="L98" s="15"/>
      <c r="M98" s="15" t="s">
        <v>888</v>
      </c>
      <c r="N98" s="15">
        <v>3</v>
      </c>
    </row>
    <row r="99" spans="1:14">
      <c r="A99" s="15" t="s">
        <v>257</v>
      </c>
      <c r="B99" s="15" t="s">
        <v>760</v>
      </c>
      <c r="C99" s="15">
        <v>3</v>
      </c>
      <c r="D99" s="15" t="s">
        <v>660</v>
      </c>
      <c r="E99" s="15"/>
      <c r="F99" s="15"/>
      <c r="G99" s="15"/>
      <c r="H99" s="15"/>
      <c r="I99" s="15"/>
      <c r="J99" s="15"/>
      <c r="K99" s="15"/>
      <c r="L99" s="15"/>
      <c r="M99" s="15" t="s">
        <v>889</v>
      </c>
      <c r="N99" s="15">
        <v>2</v>
      </c>
    </row>
    <row r="100" spans="1:14">
      <c r="A100" s="15" t="s">
        <v>333</v>
      </c>
      <c r="B100" s="15" t="s">
        <v>760</v>
      </c>
      <c r="C100" s="15">
        <v>3</v>
      </c>
      <c r="D100" s="15" t="s">
        <v>660</v>
      </c>
      <c r="E100" s="15"/>
      <c r="F100" s="15"/>
      <c r="G100" s="15"/>
      <c r="H100" s="15"/>
      <c r="I100" s="15"/>
      <c r="J100" s="15"/>
      <c r="K100" s="15"/>
      <c r="L100" s="15"/>
      <c r="M100" s="15" t="s">
        <v>901</v>
      </c>
      <c r="N100" s="15">
        <v>2</v>
      </c>
    </row>
    <row r="101" spans="1:14">
      <c r="A101" s="15" t="s">
        <v>383</v>
      </c>
      <c r="B101" s="15" t="s">
        <v>760</v>
      </c>
      <c r="C101">
        <v>4</v>
      </c>
      <c r="D101" t="s">
        <v>660</v>
      </c>
      <c r="E101" s="15" t="s">
        <v>654</v>
      </c>
      <c r="G101" t="s">
        <v>684</v>
      </c>
      <c r="I101" t="s">
        <v>849</v>
      </c>
      <c r="J101" s="15"/>
      <c r="K101" s="15"/>
      <c r="M101" s="15" t="s">
        <v>881</v>
      </c>
      <c r="N101">
        <v>3</v>
      </c>
    </row>
    <row r="102" spans="1:14">
      <c r="A102" s="15" t="s">
        <v>633</v>
      </c>
      <c r="B102" s="15" t="s">
        <v>760</v>
      </c>
      <c r="C102" s="15">
        <v>4</v>
      </c>
      <c r="D102" s="15" t="s">
        <v>660</v>
      </c>
      <c r="E102" s="15" t="s">
        <v>654</v>
      </c>
      <c r="F102" s="15" t="s">
        <v>846</v>
      </c>
      <c r="G102" s="15"/>
      <c r="H102" s="15"/>
      <c r="I102" s="15"/>
      <c r="J102" s="15"/>
      <c r="K102" s="15"/>
      <c r="L102" s="15"/>
      <c r="M102" s="15" t="s">
        <v>661</v>
      </c>
      <c r="N102" s="15">
        <v>3</v>
      </c>
    </row>
    <row r="103" spans="1:14">
      <c r="A103" s="15" t="s">
        <v>415</v>
      </c>
      <c r="B103" s="15" t="s">
        <v>760</v>
      </c>
      <c r="C103" s="15">
        <v>4</v>
      </c>
      <c r="D103" s="15" t="s">
        <v>660</v>
      </c>
      <c r="E103" s="15" t="s">
        <v>654</v>
      </c>
      <c r="F103" s="15" t="s">
        <v>845</v>
      </c>
      <c r="G103" s="15"/>
      <c r="H103" s="15"/>
      <c r="I103" s="15"/>
      <c r="J103" s="15"/>
      <c r="K103" s="15"/>
      <c r="L103" s="15"/>
      <c r="M103" s="15" t="s">
        <v>899</v>
      </c>
      <c r="N103">
        <v>3</v>
      </c>
    </row>
    <row r="104" spans="1:14">
      <c r="A104" s="15" t="s">
        <v>414</v>
      </c>
      <c r="B104" s="15" t="s">
        <v>760</v>
      </c>
      <c r="C104" s="15">
        <v>4</v>
      </c>
      <c r="D104" s="15" t="s">
        <v>660</v>
      </c>
      <c r="E104" s="15" t="s">
        <v>654</v>
      </c>
      <c r="F104" s="15" t="s">
        <v>845</v>
      </c>
      <c r="G104" s="15"/>
      <c r="H104" s="15"/>
      <c r="I104" s="15"/>
      <c r="J104" s="15"/>
      <c r="K104" s="15"/>
      <c r="L104" s="15"/>
      <c r="M104" s="15" t="s">
        <v>954</v>
      </c>
      <c r="N104" s="15">
        <v>3</v>
      </c>
    </row>
    <row r="105" spans="1:14">
      <c r="A105" s="15" t="s">
        <v>456</v>
      </c>
      <c r="B105" s="15" t="s">
        <v>760</v>
      </c>
      <c r="C105">
        <v>4</v>
      </c>
      <c r="D105" t="s">
        <v>660</v>
      </c>
      <c r="E105" s="15" t="s">
        <v>810</v>
      </c>
      <c r="G105" s="15"/>
      <c r="I105" t="s">
        <v>847</v>
      </c>
      <c r="M105" s="15" t="s">
        <v>889</v>
      </c>
      <c r="N105">
        <v>3</v>
      </c>
    </row>
    <row r="106" spans="1:14">
      <c r="A106" s="15" t="s">
        <v>384</v>
      </c>
      <c r="B106" s="15" t="s">
        <v>760</v>
      </c>
      <c r="C106">
        <v>4</v>
      </c>
      <c r="D106" t="s">
        <v>660</v>
      </c>
      <c r="E106" s="15"/>
      <c r="F106" s="15"/>
      <c r="G106" s="15"/>
      <c r="J106" s="15"/>
      <c r="K106" t="s">
        <v>477</v>
      </c>
      <c r="M106" s="15" t="s">
        <v>477</v>
      </c>
      <c r="N106">
        <v>3</v>
      </c>
    </row>
    <row r="107" spans="1:14">
      <c r="A107" s="15" t="s">
        <v>457</v>
      </c>
      <c r="B107" s="15" t="s">
        <v>760</v>
      </c>
      <c r="C107">
        <v>5</v>
      </c>
      <c r="D107" t="s">
        <v>660</v>
      </c>
      <c r="E107" s="15" t="s">
        <v>810</v>
      </c>
      <c r="F107" s="15"/>
      <c r="I107" t="s">
        <v>847</v>
      </c>
      <c r="K107" s="15"/>
      <c r="M107" s="15" t="s">
        <v>889</v>
      </c>
      <c r="N107">
        <v>3</v>
      </c>
    </row>
    <row r="108" spans="1:14">
      <c r="A108" s="15" t="s">
        <v>334</v>
      </c>
      <c r="B108" s="15" t="s">
        <v>760</v>
      </c>
      <c r="C108" s="15">
        <v>6</v>
      </c>
      <c r="D108" s="15" t="s">
        <v>660</v>
      </c>
      <c r="E108" s="15" t="s">
        <v>654</v>
      </c>
      <c r="F108" s="15" t="s">
        <v>794</v>
      </c>
      <c r="G108" s="15"/>
      <c r="H108" s="15"/>
      <c r="I108" s="15" t="s">
        <v>679</v>
      </c>
      <c r="J108" s="15" t="s">
        <v>850</v>
      </c>
      <c r="K108" s="15"/>
      <c r="L108" s="15"/>
      <c r="M108" s="15" t="s">
        <v>889</v>
      </c>
      <c r="N108" s="15">
        <v>3</v>
      </c>
    </row>
    <row r="109" spans="1:14">
      <c r="A109" s="15" t="s">
        <v>933</v>
      </c>
      <c r="B109" s="15" t="s">
        <v>760</v>
      </c>
      <c r="C109" s="15">
        <v>6</v>
      </c>
      <c r="D109" s="15" t="s">
        <v>660</v>
      </c>
      <c r="E109" s="15" t="s">
        <v>654</v>
      </c>
      <c r="F109" s="15" t="s">
        <v>845</v>
      </c>
      <c r="G109" s="15"/>
      <c r="H109" s="15"/>
      <c r="I109" s="15"/>
      <c r="J109" s="15"/>
      <c r="K109" s="15"/>
      <c r="L109" s="15"/>
      <c r="M109" s="15" t="s">
        <v>879</v>
      </c>
      <c r="N109" s="15">
        <v>2</v>
      </c>
    </row>
    <row r="110" spans="1:14">
      <c r="A110" s="15" t="s">
        <v>503</v>
      </c>
      <c r="B110" s="15" t="s">
        <v>760</v>
      </c>
      <c r="C110">
        <v>6</v>
      </c>
      <c r="D110" s="15" t="s">
        <v>660</v>
      </c>
      <c r="E110" t="s">
        <v>810</v>
      </c>
      <c r="I110" t="s">
        <v>847</v>
      </c>
      <c r="M110" s="15" t="s">
        <v>889</v>
      </c>
      <c r="N110">
        <v>2</v>
      </c>
    </row>
    <row r="111" spans="1:14">
      <c r="A111" s="15" t="s">
        <v>89</v>
      </c>
      <c r="B111" s="15" t="s">
        <v>760</v>
      </c>
      <c r="C111">
        <v>6</v>
      </c>
      <c r="D111" s="15" t="s">
        <v>660</v>
      </c>
      <c r="E111" s="15"/>
      <c r="K111" s="15"/>
      <c r="L111" t="s">
        <v>682</v>
      </c>
      <c r="M111" s="15" t="s">
        <v>889</v>
      </c>
      <c r="N111" s="15">
        <v>2</v>
      </c>
    </row>
    <row r="112" spans="1:14">
      <c r="A112" s="15" t="s">
        <v>240</v>
      </c>
      <c r="B112" s="15" t="s">
        <v>666</v>
      </c>
      <c r="C112" s="15">
        <v>1</v>
      </c>
      <c r="D112" s="15"/>
      <c r="E112" s="15" t="s">
        <v>654</v>
      </c>
      <c r="F112" s="15" t="s">
        <v>775</v>
      </c>
      <c r="G112" s="15" t="s">
        <v>747</v>
      </c>
      <c r="H112" s="15"/>
      <c r="I112" s="15"/>
      <c r="J112" s="15"/>
      <c r="K112" s="15"/>
      <c r="L112" s="15"/>
      <c r="M112" s="15" t="s">
        <v>948</v>
      </c>
      <c r="N112" s="15">
        <v>2</v>
      </c>
    </row>
    <row r="113" spans="1:14">
      <c r="A113" s="15" t="s">
        <v>166</v>
      </c>
      <c r="B113" s="15" t="s">
        <v>666</v>
      </c>
      <c r="C113" s="15">
        <v>2</v>
      </c>
      <c r="D113" s="15"/>
      <c r="E113" s="15" t="s">
        <v>654</v>
      </c>
      <c r="F113" s="15" t="s">
        <v>739</v>
      </c>
      <c r="G113" s="15"/>
      <c r="H113" s="15" t="s">
        <v>653</v>
      </c>
      <c r="I113" s="15"/>
      <c r="J113" s="15"/>
      <c r="K113" s="15"/>
      <c r="L113" s="15"/>
      <c r="M113" s="15" t="s">
        <v>952</v>
      </c>
      <c r="N113">
        <v>4</v>
      </c>
    </row>
    <row r="114" spans="1:14">
      <c r="A114" s="15" t="s">
        <v>579</v>
      </c>
      <c r="B114" s="15" t="s">
        <v>666</v>
      </c>
      <c r="C114" s="15">
        <v>2</v>
      </c>
      <c r="D114" s="15"/>
      <c r="E114" s="15" t="s">
        <v>654</v>
      </c>
      <c r="F114" s="15" t="s">
        <v>482</v>
      </c>
      <c r="G114" s="15" t="s">
        <v>778</v>
      </c>
      <c r="H114" s="15" t="s">
        <v>653</v>
      </c>
      <c r="I114" s="15"/>
      <c r="J114" s="15"/>
      <c r="K114" s="15"/>
      <c r="L114" s="15"/>
      <c r="M114" s="15" t="s">
        <v>899</v>
      </c>
      <c r="N114">
        <v>3</v>
      </c>
    </row>
    <row r="115" spans="1:14">
      <c r="A115" s="15" t="s">
        <v>180</v>
      </c>
      <c r="B115" s="15" t="s">
        <v>666</v>
      </c>
      <c r="C115" s="15">
        <v>2</v>
      </c>
      <c r="D115" s="15"/>
      <c r="E115" s="15" t="s">
        <v>654</v>
      </c>
      <c r="F115" s="15" t="s">
        <v>670</v>
      </c>
      <c r="G115" s="15" t="s">
        <v>684</v>
      </c>
      <c r="H115" s="15"/>
      <c r="I115" s="15"/>
      <c r="J115" s="15"/>
      <c r="K115" s="15"/>
      <c r="L115" s="15"/>
      <c r="M115" s="15" t="s">
        <v>889</v>
      </c>
      <c r="N115">
        <v>2</v>
      </c>
    </row>
    <row r="116" spans="1:14">
      <c r="A116" s="15" t="s">
        <v>176</v>
      </c>
      <c r="B116" s="15" t="s">
        <v>666</v>
      </c>
      <c r="C116" s="15">
        <v>2</v>
      </c>
      <c r="D116" s="15"/>
      <c r="E116" s="15" t="s">
        <v>697</v>
      </c>
      <c r="F116" s="15"/>
      <c r="G116" s="15"/>
      <c r="H116" s="15"/>
      <c r="I116" s="15"/>
      <c r="J116" s="15"/>
      <c r="K116" s="15" t="s">
        <v>477</v>
      </c>
      <c r="L116" s="15"/>
      <c r="M116" s="15" t="s">
        <v>898</v>
      </c>
      <c r="N116">
        <v>4</v>
      </c>
    </row>
    <row r="117" spans="1:14">
      <c r="A117" s="15" t="s">
        <v>469</v>
      </c>
      <c r="B117" s="15" t="s">
        <v>666</v>
      </c>
      <c r="C117" s="15">
        <v>2</v>
      </c>
      <c r="D117" s="15"/>
      <c r="E117" s="15" t="s">
        <v>659</v>
      </c>
      <c r="F117" s="15"/>
      <c r="G117" s="15"/>
      <c r="H117" s="15"/>
      <c r="I117" s="15"/>
      <c r="J117" s="15"/>
      <c r="K117" s="15"/>
      <c r="L117" s="15"/>
      <c r="M117" s="15" t="s">
        <v>880</v>
      </c>
      <c r="N117">
        <v>2</v>
      </c>
    </row>
    <row r="118" spans="1:14">
      <c r="A118" s="15" t="s">
        <v>224</v>
      </c>
      <c r="B118" s="15" t="s">
        <v>666</v>
      </c>
      <c r="C118" s="15">
        <v>3</v>
      </c>
      <c r="D118" s="15"/>
      <c r="E118" s="15" t="s">
        <v>654</v>
      </c>
      <c r="F118" s="15" t="s">
        <v>661</v>
      </c>
      <c r="G118" s="15"/>
      <c r="H118" s="15"/>
      <c r="I118" s="15" t="s">
        <v>678</v>
      </c>
      <c r="J118" s="15"/>
      <c r="K118" s="15"/>
      <c r="L118" s="15"/>
      <c r="M118" s="15" t="s">
        <v>892</v>
      </c>
      <c r="N118">
        <v>4</v>
      </c>
    </row>
    <row r="119" spans="1:14">
      <c r="A119" s="15" t="s">
        <v>416</v>
      </c>
      <c r="B119" s="15" t="s">
        <v>666</v>
      </c>
      <c r="C119" s="15">
        <v>3</v>
      </c>
      <c r="D119" s="15"/>
      <c r="E119" s="15" t="s">
        <v>654</v>
      </c>
      <c r="F119" s="15" t="s">
        <v>838</v>
      </c>
      <c r="G119" s="15" t="s">
        <v>839</v>
      </c>
      <c r="H119" s="15"/>
      <c r="I119" s="15" t="s">
        <v>842</v>
      </c>
      <c r="J119" s="15"/>
      <c r="K119" s="15"/>
      <c r="L119" s="15"/>
      <c r="M119" s="15" t="s">
        <v>889</v>
      </c>
      <c r="N119">
        <v>2</v>
      </c>
    </row>
    <row r="120" spans="1:14">
      <c r="A120" s="15" t="s">
        <v>82</v>
      </c>
      <c r="B120" s="15" t="s">
        <v>666</v>
      </c>
      <c r="C120">
        <v>3</v>
      </c>
      <c r="D120" t="s">
        <v>660</v>
      </c>
      <c r="E120" s="15" t="s">
        <v>810</v>
      </c>
      <c r="M120" s="15" t="s">
        <v>894</v>
      </c>
      <c r="N120">
        <v>4</v>
      </c>
    </row>
    <row r="121" spans="1:14">
      <c r="A121" s="15" t="s">
        <v>212</v>
      </c>
      <c r="B121" s="15" t="s">
        <v>666</v>
      </c>
      <c r="C121" s="15">
        <v>3</v>
      </c>
      <c r="D121" s="15"/>
      <c r="E121" s="15" t="s">
        <v>697</v>
      </c>
      <c r="F121" s="15"/>
      <c r="G121" s="15"/>
      <c r="H121" s="15"/>
      <c r="I121" s="15"/>
      <c r="J121" s="15"/>
      <c r="K121" s="15" t="s">
        <v>477</v>
      </c>
      <c r="L121" s="15"/>
      <c r="M121" s="15" t="s">
        <v>477</v>
      </c>
      <c r="N121">
        <v>4</v>
      </c>
    </row>
    <row r="122" spans="1:14">
      <c r="A122" s="15" t="s">
        <v>213</v>
      </c>
      <c r="B122" s="15" t="s">
        <v>666</v>
      </c>
      <c r="C122" s="15">
        <v>3</v>
      </c>
      <c r="D122" s="15"/>
      <c r="E122" s="15" t="s">
        <v>697</v>
      </c>
      <c r="F122" s="15"/>
      <c r="G122" s="15"/>
      <c r="H122" s="15"/>
      <c r="I122" s="15"/>
      <c r="J122" s="15"/>
      <c r="K122" s="15" t="s">
        <v>477</v>
      </c>
      <c r="L122" s="15"/>
      <c r="M122" s="15" t="s">
        <v>477</v>
      </c>
      <c r="N122" s="15">
        <v>4</v>
      </c>
    </row>
    <row r="123" spans="1:14">
      <c r="A123" s="15" t="s">
        <v>199</v>
      </c>
      <c r="B123" s="15" t="s">
        <v>666</v>
      </c>
      <c r="C123" s="15">
        <v>3</v>
      </c>
      <c r="D123" s="15"/>
      <c r="E123" s="15" t="s">
        <v>697</v>
      </c>
      <c r="F123" s="15"/>
      <c r="G123" s="15"/>
      <c r="H123" s="15"/>
      <c r="I123" s="15"/>
      <c r="J123" s="15"/>
      <c r="K123" s="15" t="s">
        <v>477</v>
      </c>
      <c r="L123" s="15"/>
      <c r="M123" s="15" t="s">
        <v>477</v>
      </c>
      <c r="N123">
        <v>4</v>
      </c>
    </row>
    <row r="124" spans="1:14">
      <c r="A124" s="15" t="s">
        <v>636</v>
      </c>
      <c r="B124" s="15" t="s">
        <v>666</v>
      </c>
      <c r="C124" s="15">
        <v>3</v>
      </c>
      <c r="D124" s="15"/>
      <c r="E124" s="15" t="s">
        <v>659</v>
      </c>
      <c r="F124" s="15"/>
      <c r="G124" s="15"/>
      <c r="H124" s="15"/>
      <c r="I124" s="15"/>
      <c r="J124" s="15"/>
      <c r="K124" s="15" t="s">
        <v>477</v>
      </c>
      <c r="L124" s="15"/>
      <c r="M124" s="15" t="s">
        <v>945</v>
      </c>
      <c r="N124">
        <v>4</v>
      </c>
    </row>
    <row r="125" spans="1:14">
      <c r="A125" s="15" t="s">
        <v>836</v>
      </c>
      <c r="B125" s="15" t="s">
        <v>666</v>
      </c>
      <c r="C125" s="15">
        <v>4</v>
      </c>
      <c r="D125" s="15"/>
      <c r="E125" s="15" t="s">
        <v>654</v>
      </c>
      <c r="F125" s="15" t="s">
        <v>775</v>
      </c>
      <c r="G125" s="15" t="s">
        <v>809</v>
      </c>
      <c r="H125" s="15"/>
      <c r="I125" s="15" t="s">
        <v>751</v>
      </c>
      <c r="J125" s="15" t="s">
        <v>805</v>
      </c>
      <c r="K125" s="15"/>
      <c r="L125" s="15"/>
      <c r="M125" s="15" t="s">
        <v>881</v>
      </c>
      <c r="N125">
        <v>4</v>
      </c>
    </row>
    <row r="126" spans="1:14">
      <c r="A126" s="20" t="s">
        <v>291</v>
      </c>
      <c r="B126" s="20" t="s">
        <v>666</v>
      </c>
      <c r="C126" s="20">
        <v>4</v>
      </c>
      <c r="D126" s="20"/>
      <c r="E126" s="20" t="s">
        <v>654</v>
      </c>
      <c r="F126" s="20" t="s">
        <v>730</v>
      </c>
      <c r="G126" s="20"/>
      <c r="H126" s="20"/>
      <c r="I126" s="20"/>
      <c r="J126" s="20"/>
      <c r="K126" s="20"/>
      <c r="L126" s="20"/>
      <c r="M126" s="15" t="s">
        <v>881</v>
      </c>
      <c r="N126" s="15">
        <v>3</v>
      </c>
    </row>
    <row r="127" spans="1:14">
      <c r="A127" s="15" t="s">
        <v>75</v>
      </c>
      <c r="B127" s="15" t="s">
        <v>666</v>
      </c>
      <c r="C127">
        <v>4</v>
      </c>
      <c r="E127" s="15" t="s">
        <v>654</v>
      </c>
      <c r="F127" s="15" t="s">
        <v>742</v>
      </c>
      <c r="H127" s="15"/>
      <c r="I127" s="15" t="s">
        <v>678</v>
      </c>
      <c r="J127" s="15" t="s">
        <v>805</v>
      </c>
      <c r="M127" s="15" t="s">
        <v>881</v>
      </c>
      <c r="N127">
        <v>2</v>
      </c>
    </row>
    <row r="128" spans="1:14">
      <c r="A128" s="15" t="s">
        <v>234</v>
      </c>
      <c r="B128" s="15" t="s">
        <v>666</v>
      </c>
      <c r="C128" s="15">
        <v>5</v>
      </c>
      <c r="D128" s="15"/>
      <c r="E128" s="15" t="s">
        <v>654</v>
      </c>
      <c r="F128" s="15" t="s">
        <v>482</v>
      </c>
      <c r="G128" s="15" t="s">
        <v>652</v>
      </c>
      <c r="H128" s="15" t="s">
        <v>653</v>
      </c>
      <c r="I128" s="15" t="s">
        <v>678</v>
      </c>
      <c r="J128" s="15" t="s">
        <v>841</v>
      </c>
      <c r="K128" s="15"/>
      <c r="L128" s="15"/>
      <c r="M128" s="15" t="s">
        <v>886</v>
      </c>
      <c r="N128">
        <v>2</v>
      </c>
    </row>
    <row r="129" spans="1:14">
      <c r="A129" s="15" t="s">
        <v>87</v>
      </c>
      <c r="B129" s="15" t="s">
        <v>666</v>
      </c>
      <c r="C129">
        <v>5</v>
      </c>
      <c r="E129" s="15" t="s">
        <v>654</v>
      </c>
      <c r="F129" s="15" t="s">
        <v>753</v>
      </c>
      <c r="G129" s="15"/>
      <c r="M129" s="15" t="s">
        <v>879</v>
      </c>
      <c r="N129">
        <v>2</v>
      </c>
    </row>
    <row r="130" spans="1:14">
      <c r="A130" s="15" t="s">
        <v>77</v>
      </c>
      <c r="B130" s="15" t="s">
        <v>666</v>
      </c>
      <c r="C130">
        <v>5</v>
      </c>
      <c r="D130" s="15"/>
      <c r="E130" t="s">
        <v>697</v>
      </c>
      <c r="F130" s="15"/>
      <c r="J130" t="s">
        <v>805</v>
      </c>
      <c r="K130" t="s">
        <v>477</v>
      </c>
      <c r="M130" s="15" t="s">
        <v>477</v>
      </c>
      <c r="N130">
        <v>4</v>
      </c>
    </row>
    <row r="131" spans="1:14">
      <c r="A131" s="15" t="s">
        <v>86</v>
      </c>
      <c r="B131" s="15" t="s">
        <v>666</v>
      </c>
      <c r="C131" s="15">
        <v>5</v>
      </c>
      <c r="D131" s="15"/>
      <c r="E131" s="15" t="s">
        <v>659</v>
      </c>
      <c r="F131" s="15"/>
      <c r="G131" s="15"/>
      <c r="H131" s="15"/>
      <c r="I131" s="15"/>
      <c r="J131" s="15"/>
      <c r="K131" s="15" t="s">
        <v>477</v>
      </c>
      <c r="L131" s="15" t="s">
        <v>682</v>
      </c>
      <c r="M131" s="15" t="s">
        <v>477</v>
      </c>
      <c r="N131">
        <v>4</v>
      </c>
    </row>
    <row r="132" spans="1:14">
      <c r="A132" s="15" t="s">
        <v>83</v>
      </c>
      <c r="B132" s="15" t="s">
        <v>666</v>
      </c>
      <c r="C132" s="15">
        <v>6</v>
      </c>
      <c r="D132" s="15"/>
      <c r="E132" s="15" t="s">
        <v>654</v>
      </c>
      <c r="F132" s="15" t="s">
        <v>827</v>
      </c>
      <c r="G132" s="15"/>
      <c r="H132" s="15"/>
      <c r="I132" s="15"/>
      <c r="J132" s="15" t="s">
        <v>805</v>
      </c>
      <c r="K132" s="15"/>
      <c r="L132" s="15"/>
      <c r="M132" s="15" t="s">
        <v>881</v>
      </c>
      <c r="N132">
        <v>4</v>
      </c>
    </row>
    <row r="133" spans="1:14">
      <c r="A133" s="15" t="s">
        <v>331</v>
      </c>
      <c r="B133" s="15" t="s">
        <v>666</v>
      </c>
      <c r="C133">
        <v>6</v>
      </c>
      <c r="E133" s="15" t="s">
        <v>654</v>
      </c>
      <c r="F133" s="15" t="s">
        <v>661</v>
      </c>
      <c r="G133" s="15"/>
      <c r="I133" t="s">
        <v>751</v>
      </c>
      <c r="J133" s="15" t="s">
        <v>681</v>
      </c>
      <c r="K133" s="15"/>
      <c r="M133" s="15" t="s">
        <v>661</v>
      </c>
      <c r="N133">
        <v>3</v>
      </c>
    </row>
    <row r="134" spans="1:14">
      <c r="A134" s="15" t="s">
        <v>72</v>
      </c>
      <c r="B134" s="15" t="s">
        <v>666</v>
      </c>
      <c r="C134" s="15">
        <v>6</v>
      </c>
      <c r="D134" s="15"/>
      <c r="E134" s="15" t="s">
        <v>659</v>
      </c>
      <c r="F134" s="15"/>
      <c r="G134" s="15"/>
      <c r="H134" s="15"/>
      <c r="I134" s="15"/>
      <c r="J134" s="15"/>
      <c r="K134" s="15"/>
      <c r="L134" s="15"/>
      <c r="M134" s="15" t="s">
        <v>878</v>
      </c>
      <c r="N134">
        <v>4</v>
      </c>
    </row>
    <row r="135" spans="1:14">
      <c r="A135" s="15" t="s">
        <v>578</v>
      </c>
      <c r="B135" s="15" t="s">
        <v>666</v>
      </c>
      <c r="C135" s="15">
        <v>6</v>
      </c>
      <c r="D135" s="15"/>
      <c r="E135" s="15" t="s">
        <v>659</v>
      </c>
      <c r="F135" s="15"/>
      <c r="G135" s="15"/>
      <c r="H135" s="15"/>
      <c r="I135" s="15"/>
      <c r="J135" s="15"/>
      <c r="K135" s="15" t="s">
        <v>477</v>
      </c>
      <c r="L135" s="15"/>
      <c r="M135" s="15" t="s">
        <v>898</v>
      </c>
      <c r="N135">
        <v>4</v>
      </c>
    </row>
    <row r="136" spans="1:14">
      <c r="A136" s="15" t="s">
        <v>447</v>
      </c>
      <c r="B136" s="15" t="s">
        <v>759</v>
      </c>
      <c r="C136" s="15">
        <v>1</v>
      </c>
      <c r="D136" s="15"/>
      <c r="E136" s="15" t="s">
        <v>654</v>
      </c>
      <c r="F136" s="15" t="s">
        <v>775</v>
      </c>
      <c r="G136" s="15"/>
      <c r="H136" s="15"/>
      <c r="I136" s="15"/>
      <c r="J136" s="15" t="s">
        <v>655</v>
      </c>
      <c r="K136" s="15"/>
      <c r="L136" s="15"/>
      <c r="M136" s="15" t="s">
        <v>946</v>
      </c>
      <c r="N136">
        <v>4</v>
      </c>
    </row>
    <row r="137" spans="1:14">
      <c r="A137" s="15" t="s">
        <v>644</v>
      </c>
      <c r="B137" s="15" t="s">
        <v>759</v>
      </c>
      <c r="C137">
        <v>1</v>
      </c>
      <c r="E137" s="15" t="s">
        <v>697</v>
      </c>
      <c r="F137" s="15"/>
      <c r="I137" s="15"/>
      <c r="J137" s="15"/>
      <c r="L137" s="15"/>
      <c r="M137" s="15" t="s">
        <v>889</v>
      </c>
      <c r="N137">
        <v>2</v>
      </c>
    </row>
    <row r="138" spans="1:14">
      <c r="A138" s="15" t="s">
        <v>638</v>
      </c>
      <c r="B138" s="15" t="s">
        <v>759</v>
      </c>
      <c r="C138" s="15">
        <v>2</v>
      </c>
      <c r="D138" s="15"/>
      <c r="E138" s="15" t="s">
        <v>654</v>
      </c>
      <c r="F138" s="15" t="s">
        <v>775</v>
      </c>
      <c r="G138" s="15" t="s">
        <v>736</v>
      </c>
      <c r="H138" s="15"/>
      <c r="I138" s="15" t="s">
        <v>787</v>
      </c>
      <c r="J138" s="15"/>
      <c r="K138" s="15"/>
      <c r="L138" s="15"/>
      <c r="M138" s="15" t="s">
        <v>882</v>
      </c>
      <c r="N138">
        <v>4</v>
      </c>
    </row>
    <row r="139" spans="1:14">
      <c r="A139" s="15" t="s">
        <v>129</v>
      </c>
      <c r="B139" s="15" t="s">
        <v>759</v>
      </c>
      <c r="C139" s="15">
        <v>2</v>
      </c>
      <c r="D139" s="15"/>
      <c r="E139" s="15" t="s">
        <v>654</v>
      </c>
      <c r="F139" s="15" t="s">
        <v>830</v>
      </c>
      <c r="G139" s="15"/>
      <c r="H139" s="15"/>
      <c r="I139" s="15" t="s">
        <v>727</v>
      </c>
      <c r="J139" s="15" t="s">
        <v>764</v>
      </c>
      <c r="K139" s="15"/>
      <c r="L139" s="15"/>
      <c r="M139" s="15" t="s">
        <v>882</v>
      </c>
      <c r="N139" s="15">
        <v>3</v>
      </c>
    </row>
    <row r="140" spans="1:14">
      <c r="A140" s="15" t="s">
        <v>828</v>
      </c>
      <c r="B140" s="15" t="s">
        <v>759</v>
      </c>
      <c r="C140">
        <v>2</v>
      </c>
      <c r="E140" s="15" t="s">
        <v>654</v>
      </c>
      <c r="F140" s="15" t="s">
        <v>482</v>
      </c>
      <c r="G140" s="15" t="s">
        <v>736</v>
      </c>
      <c r="I140" s="15" t="s">
        <v>790</v>
      </c>
      <c r="J140" s="15" t="s">
        <v>655</v>
      </c>
      <c r="M140" s="15" t="s">
        <v>882</v>
      </c>
      <c r="N140">
        <v>3</v>
      </c>
    </row>
    <row r="141" spans="1:14">
      <c r="A141" s="15" t="s">
        <v>939</v>
      </c>
      <c r="B141" s="15" t="s">
        <v>759</v>
      </c>
      <c r="C141">
        <v>2</v>
      </c>
      <c r="E141" s="15" t="s">
        <v>654</v>
      </c>
      <c r="F141" t="s">
        <v>482</v>
      </c>
      <c r="G141" t="s">
        <v>906</v>
      </c>
      <c r="M141" s="15" t="s">
        <v>882</v>
      </c>
      <c r="N141">
        <v>2</v>
      </c>
    </row>
    <row r="142" spans="1:14">
      <c r="A142" s="15" t="s">
        <v>169</v>
      </c>
      <c r="B142" s="15" t="s">
        <v>759</v>
      </c>
      <c r="C142">
        <v>2</v>
      </c>
      <c r="E142" s="15" t="s">
        <v>659</v>
      </c>
      <c r="F142" s="15"/>
      <c r="I142" s="15"/>
      <c r="M142" s="15" t="s">
        <v>889</v>
      </c>
      <c r="N142">
        <v>2</v>
      </c>
    </row>
    <row r="143" spans="1:14">
      <c r="A143" s="15" t="s">
        <v>471</v>
      </c>
      <c r="B143" s="15" t="s">
        <v>759</v>
      </c>
      <c r="C143">
        <v>2</v>
      </c>
      <c r="D143" t="s">
        <v>698</v>
      </c>
      <c r="E143" s="15"/>
      <c r="F143" s="15"/>
      <c r="I143" s="15"/>
      <c r="M143" s="15" t="s">
        <v>878</v>
      </c>
      <c r="N143">
        <v>4</v>
      </c>
    </row>
    <row r="144" spans="1:14">
      <c r="A144" s="15" t="s">
        <v>255</v>
      </c>
      <c r="B144" s="15" t="s">
        <v>759</v>
      </c>
      <c r="C144" s="15">
        <v>3</v>
      </c>
      <c r="D144" s="15" t="s">
        <v>698</v>
      </c>
      <c r="E144" s="15" t="s">
        <v>699</v>
      </c>
      <c r="F144" s="15"/>
      <c r="G144" s="15"/>
      <c r="H144" s="15"/>
      <c r="I144" s="15"/>
      <c r="J144" s="15"/>
      <c r="K144" s="15"/>
      <c r="L144" s="15"/>
      <c r="M144" s="15" t="s">
        <v>894</v>
      </c>
      <c r="N144">
        <v>3</v>
      </c>
    </row>
    <row r="145" spans="1:14">
      <c r="A145" s="15" t="s">
        <v>200</v>
      </c>
      <c r="B145" s="15" t="s">
        <v>759</v>
      </c>
      <c r="C145">
        <v>3</v>
      </c>
      <c r="E145" s="15" t="s">
        <v>654</v>
      </c>
      <c r="F145" s="15" t="s">
        <v>482</v>
      </c>
      <c r="G145" t="s">
        <v>776</v>
      </c>
      <c r="M145" s="15" t="s">
        <v>955</v>
      </c>
      <c r="N145">
        <v>4</v>
      </c>
    </row>
    <row r="146" spans="1:14">
      <c r="A146" s="15" t="s">
        <v>829</v>
      </c>
      <c r="B146" s="15" t="s">
        <v>759</v>
      </c>
      <c r="C146" s="15">
        <v>3</v>
      </c>
      <c r="D146" s="15"/>
      <c r="E146" s="15" t="s">
        <v>654</v>
      </c>
      <c r="F146" s="15" t="s">
        <v>775</v>
      </c>
      <c r="G146" s="15" t="s">
        <v>684</v>
      </c>
      <c r="H146" s="15"/>
      <c r="I146" s="15"/>
      <c r="J146" s="15" t="s">
        <v>686</v>
      </c>
      <c r="K146" s="15" t="s">
        <v>477</v>
      </c>
      <c r="L146" s="15"/>
      <c r="M146" s="15" t="s">
        <v>879</v>
      </c>
      <c r="N146">
        <v>4</v>
      </c>
    </row>
    <row r="147" spans="1:14">
      <c r="A147" s="15" t="s">
        <v>445</v>
      </c>
      <c r="B147" s="15" t="s">
        <v>759</v>
      </c>
      <c r="C147">
        <v>3</v>
      </c>
      <c r="E147" s="15" t="s">
        <v>654</v>
      </c>
      <c r="F147" s="15" t="s">
        <v>775</v>
      </c>
      <c r="G147" t="s">
        <v>736</v>
      </c>
      <c r="H147" s="15"/>
      <c r="I147" s="15"/>
      <c r="K147" s="15"/>
      <c r="M147" s="15" t="s">
        <v>904</v>
      </c>
      <c r="N147">
        <v>4</v>
      </c>
    </row>
    <row r="148" spans="1:14">
      <c r="A148" s="15" t="s">
        <v>120</v>
      </c>
      <c r="B148" s="15" t="s">
        <v>759</v>
      </c>
      <c r="C148">
        <v>3</v>
      </c>
      <c r="E148" s="15" t="s">
        <v>654</v>
      </c>
      <c r="F148" s="15" t="s">
        <v>482</v>
      </c>
      <c r="G148" t="s">
        <v>684</v>
      </c>
      <c r="H148" s="15"/>
      <c r="J148" s="15" t="s">
        <v>686</v>
      </c>
      <c r="L148" s="15"/>
      <c r="M148" s="15" t="s">
        <v>880</v>
      </c>
      <c r="N148">
        <v>2</v>
      </c>
    </row>
    <row r="149" spans="1:14">
      <c r="A149" s="15" t="s">
        <v>205</v>
      </c>
      <c r="B149" s="15" t="s">
        <v>759</v>
      </c>
      <c r="C149" s="15">
        <v>3</v>
      </c>
      <c r="D149" s="15"/>
      <c r="E149" s="15" t="s">
        <v>654</v>
      </c>
      <c r="F149" s="15" t="s">
        <v>674</v>
      </c>
      <c r="G149" s="15" t="s">
        <v>661</v>
      </c>
      <c r="H149" s="15"/>
      <c r="I149" s="15"/>
      <c r="J149" s="15" t="s">
        <v>764</v>
      </c>
      <c r="K149" s="15"/>
      <c r="L149" s="15" t="s">
        <v>682</v>
      </c>
      <c r="M149" s="15" t="s">
        <v>948</v>
      </c>
      <c r="N149">
        <v>2</v>
      </c>
    </row>
    <row r="150" spans="1:14">
      <c r="A150" s="15" t="s">
        <v>577</v>
      </c>
      <c r="B150" s="15" t="s">
        <v>759</v>
      </c>
      <c r="C150">
        <v>3</v>
      </c>
      <c r="E150" s="15" t="s">
        <v>697</v>
      </c>
      <c r="F150" s="15"/>
      <c r="G150" s="15"/>
      <c r="K150" t="s">
        <v>477</v>
      </c>
      <c r="M150" s="15" t="s">
        <v>477</v>
      </c>
      <c r="N150">
        <v>4</v>
      </c>
    </row>
    <row r="151" spans="1:14">
      <c r="A151" s="15" t="s">
        <v>230</v>
      </c>
      <c r="B151" s="15" t="s">
        <v>759</v>
      </c>
      <c r="C151">
        <v>4</v>
      </c>
      <c r="E151" s="15" t="s">
        <v>654</v>
      </c>
      <c r="F151" t="s">
        <v>831</v>
      </c>
      <c r="G151" t="s">
        <v>676</v>
      </c>
      <c r="J151" t="s">
        <v>833</v>
      </c>
      <c r="M151" s="15" t="s">
        <v>882</v>
      </c>
      <c r="N151">
        <v>3</v>
      </c>
    </row>
    <row r="152" spans="1:14">
      <c r="A152" s="15" t="s">
        <v>235</v>
      </c>
      <c r="B152" s="15" t="s">
        <v>759</v>
      </c>
      <c r="C152">
        <v>4</v>
      </c>
      <c r="E152" s="15" t="s">
        <v>654</v>
      </c>
      <c r="F152" s="15" t="s">
        <v>728</v>
      </c>
      <c r="I152" s="15" t="s">
        <v>679</v>
      </c>
      <c r="J152" t="s">
        <v>732</v>
      </c>
      <c r="L152" t="s">
        <v>682</v>
      </c>
      <c r="M152" s="15" t="s">
        <v>948</v>
      </c>
      <c r="N152">
        <v>3</v>
      </c>
    </row>
    <row r="153" spans="1:14">
      <c r="A153" s="15" t="s">
        <v>602</v>
      </c>
      <c r="B153" s="15" t="s">
        <v>759</v>
      </c>
      <c r="C153">
        <v>4</v>
      </c>
      <c r="E153" s="15" t="s">
        <v>654</v>
      </c>
      <c r="F153" t="s">
        <v>831</v>
      </c>
      <c r="I153" t="s">
        <v>751</v>
      </c>
      <c r="J153" s="15" t="s">
        <v>834</v>
      </c>
      <c r="M153" s="15" t="s">
        <v>948</v>
      </c>
      <c r="N153">
        <v>2</v>
      </c>
    </row>
    <row r="154" spans="1:14">
      <c r="A154" s="15" t="s">
        <v>253</v>
      </c>
      <c r="B154" s="15" t="s">
        <v>759</v>
      </c>
      <c r="C154" s="15">
        <v>4</v>
      </c>
      <c r="D154" s="15"/>
      <c r="E154" s="15" t="s">
        <v>659</v>
      </c>
      <c r="F154" s="15"/>
      <c r="G154" s="15"/>
      <c r="H154" s="15"/>
      <c r="I154" s="15"/>
      <c r="J154" s="15"/>
      <c r="K154" s="15"/>
      <c r="L154" s="15"/>
      <c r="M154" s="15" t="s">
        <v>878</v>
      </c>
      <c r="N154">
        <v>4</v>
      </c>
    </row>
    <row r="155" spans="1:14">
      <c r="A155" s="15" t="s">
        <v>631</v>
      </c>
      <c r="B155" s="15" t="s">
        <v>759</v>
      </c>
      <c r="C155" s="15">
        <v>4</v>
      </c>
      <c r="D155" s="15"/>
      <c r="E155" s="15" t="s">
        <v>659</v>
      </c>
      <c r="F155" s="15"/>
      <c r="G155" s="15"/>
      <c r="H155" s="15"/>
      <c r="I155" s="15"/>
      <c r="J155" s="15"/>
      <c r="K155" s="15"/>
      <c r="L155" s="15"/>
      <c r="M155" s="15" t="s">
        <v>884</v>
      </c>
      <c r="N155">
        <v>2</v>
      </c>
    </row>
    <row r="156" spans="1:14">
      <c r="A156" s="15" t="s">
        <v>0</v>
      </c>
      <c r="B156" s="15" t="s">
        <v>759</v>
      </c>
      <c r="C156" s="15">
        <v>5</v>
      </c>
      <c r="D156" s="15"/>
      <c r="E156" s="15" t="s">
        <v>654</v>
      </c>
      <c r="F156" s="15" t="s">
        <v>832</v>
      </c>
      <c r="G156" s="15"/>
      <c r="H156" s="15"/>
      <c r="I156" s="15" t="s">
        <v>787</v>
      </c>
      <c r="J156" s="15"/>
      <c r="K156" s="15"/>
      <c r="L156" s="15"/>
      <c r="M156" s="15" t="s">
        <v>892</v>
      </c>
      <c r="N156" s="15">
        <v>4</v>
      </c>
    </row>
    <row r="157" spans="1:14">
      <c r="A157" s="15" t="s">
        <v>597</v>
      </c>
      <c r="B157" s="15" t="s">
        <v>759</v>
      </c>
      <c r="C157" s="15">
        <v>5</v>
      </c>
      <c r="D157" s="15"/>
      <c r="E157" s="15" t="s">
        <v>654</v>
      </c>
      <c r="F157" s="15" t="s">
        <v>782</v>
      </c>
      <c r="G157" s="15"/>
      <c r="H157" s="15"/>
      <c r="I157" s="15" t="s">
        <v>786</v>
      </c>
      <c r="J157" s="15"/>
      <c r="K157" s="15" t="s">
        <v>477</v>
      </c>
      <c r="L157" s="15"/>
      <c r="M157" s="15" t="s">
        <v>879</v>
      </c>
      <c r="N157" s="15">
        <v>4</v>
      </c>
    </row>
    <row r="158" spans="1:14">
      <c r="A158" s="15" t="s">
        <v>130</v>
      </c>
      <c r="B158" s="15" t="s">
        <v>759</v>
      </c>
      <c r="C158">
        <v>5</v>
      </c>
      <c r="E158" s="15" t="s">
        <v>654</v>
      </c>
      <c r="F158" t="s">
        <v>827</v>
      </c>
      <c r="I158" t="s">
        <v>790</v>
      </c>
      <c r="J158" t="s">
        <v>520</v>
      </c>
      <c r="M158" s="15" t="s">
        <v>661</v>
      </c>
      <c r="N158">
        <v>3</v>
      </c>
    </row>
    <row r="159" spans="1:14">
      <c r="A159" s="15" t="s">
        <v>336</v>
      </c>
      <c r="B159" s="15" t="s">
        <v>759</v>
      </c>
      <c r="C159">
        <v>5</v>
      </c>
      <c r="E159" s="15" t="s">
        <v>654</v>
      </c>
      <c r="F159" t="s">
        <v>661</v>
      </c>
      <c r="M159" s="15" t="s">
        <v>881</v>
      </c>
      <c r="N159">
        <v>2</v>
      </c>
    </row>
    <row r="160" spans="1:14">
      <c r="A160" s="15" t="s">
        <v>473</v>
      </c>
      <c r="B160" s="15" t="s">
        <v>759</v>
      </c>
      <c r="C160" s="15">
        <v>5</v>
      </c>
      <c r="D160" s="15"/>
      <c r="E160" s="15" t="s">
        <v>697</v>
      </c>
      <c r="F160" s="15"/>
      <c r="G160" s="15"/>
      <c r="H160" s="15"/>
      <c r="I160" s="15"/>
      <c r="J160" s="15" t="s">
        <v>703</v>
      </c>
      <c r="K160" s="15"/>
      <c r="L160" s="15"/>
      <c r="M160" s="15" t="s">
        <v>904</v>
      </c>
      <c r="N160">
        <v>3</v>
      </c>
    </row>
    <row r="161" spans="1:14">
      <c r="A161" s="15" t="s">
        <v>58</v>
      </c>
      <c r="B161" s="15" t="s">
        <v>759</v>
      </c>
      <c r="C161">
        <v>5</v>
      </c>
      <c r="E161" s="15" t="s">
        <v>659</v>
      </c>
      <c r="M161" s="15" t="s">
        <v>904</v>
      </c>
      <c r="N161">
        <v>2</v>
      </c>
    </row>
    <row r="162" spans="1:14">
      <c r="A162" s="15" t="s">
        <v>502</v>
      </c>
      <c r="B162" s="15" t="s">
        <v>759</v>
      </c>
      <c r="C162">
        <v>6</v>
      </c>
      <c r="E162" s="15" t="s">
        <v>654</v>
      </c>
      <c r="G162" t="s">
        <v>683</v>
      </c>
      <c r="M162" s="15" t="s">
        <v>892</v>
      </c>
      <c r="N162">
        <v>3</v>
      </c>
    </row>
    <row r="163" spans="1:14">
      <c r="A163" s="15" t="s">
        <v>248</v>
      </c>
      <c r="B163" s="15" t="s">
        <v>759</v>
      </c>
      <c r="C163" s="15">
        <v>6</v>
      </c>
      <c r="D163" s="15"/>
      <c r="E163" s="15" t="s">
        <v>654</v>
      </c>
      <c r="F163" s="15" t="s">
        <v>656</v>
      </c>
      <c r="G163" s="15" t="s">
        <v>736</v>
      </c>
      <c r="H163" s="15"/>
      <c r="I163" s="15"/>
      <c r="J163" s="15"/>
      <c r="K163" s="15"/>
      <c r="L163" s="15"/>
      <c r="M163" s="15" t="s">
        <v>661</v>
      </c>
      <c r="N163">
        <v>3</v>
      </c>
    </row>
    <row r="164" spans="1:14">
      <c r="A164" s="15" t="s">
        <v>446</v>
      </c>
      <c r="B164" s="15" t="s">
        <v>759</v>
      </c>
      <c r="C164">
        <v>6</v>
      </c>
      <c r="E164" s="15" t="s">
        <v>654</v>
      </c>
      <c r="F164" t="s">
        <v>781</v>
      </c>
      <c r="J164" t="s">
        <v>691</v>
      </c>
      <c r="L164" t="s">
        <v>682</v>
      </c>
      <c r="M164" s="15" t="s">
        <v>955</v>
      </c>
      <c r="N164">
        <v>3</v>
      </c>
    </row>
    <row r="165" spans="1:14">
      <c r="A165" s="15" t="s">
        <v>510</v>
      </c>
      <c r="B165" s="15" t="s">
        <v>759</v>
      </c>
      <c r="C165" s="15">
        <v>6</v>
      </c>
      <c r="D165" s="15"/>
      <c r="E165" s="15" t="s">
        <v>659</v>
      </c>
      <c r="F165" s="15"/>
      <c r="G165" s="15"/>
      <c r="H165" s="15"/>
      <c r="I165" s="15"/>
      <c r="J165" s="15"/>
      <c r="K165" s="15"/>
      <c r="L165" s="15"/>
      <c r="M165" s="15" t="s">
        <v>894</v>
      </c>
      <c r="N165">
        <v>4</v>
      </c>
    </row>
    <row r="166" spans="1:14">
      <c r="A166" s="15" t="s">
        <v>326</v>
      </c>
      <c r="B166" s="15" t="s">
        <v>759</v>
      </c>
      <c r="C166" s="15">
        <v>7</v>
      </c>
      <c r="D166" s="15"/>
      <c r="E166" s="15" t="s">
        <v>654</v>
      </c>
      <c r="F166" s="15" t="s">
        <v>827</v>
      </c>
      <c r="G166" s="15"/>
      <c r="H166" s="15"/>
      <c r="I166" s="15" t="s">
        <v>790</v>
      </c>
      <c r="J166" s="15"/>
      <c r="K166" s="15"/>
      <c r="L166" s="15"/>
      <c r="M166" s="15" t="s">
        <v>661</v>
      </c>
      <c r="N166">
        <v>4</v>
      </c>
    </row>
    <row r="167" spans="1:14">
      <c r="A167" s="15" t="s">
        <v>133</v>
      </c>
      <c r="B167" s="15" t="s">
        <v>908</v>
      </c>
      <c r="C167" s="15">
        <v>2</v>
      </c>
      <c r="D167" s="15"/>
      <c r="E167" s="15" t="s">
        <v>654</v>
      </c>
      <c r="F167" s="15" t="s">
        <v>739</v>
      </c>
      <c r="G167" s="15" t="s">
        <v>747</v>
      </c>
      <c r="H167" s="15"/>
      <c r="I167" s="15"/>
      <c r="J167" s="15"/>
      <c r="K167" s="15" t="s">
        <v>717</v>
      </c>
      <c r="L167" s="15" t="s">
        <v>477</v>
      </c>
      <c r="M167" s="15" t="s">
        <v>889</v>
      </c>
      <c r="N167">
        <v>4</v>
      </c>
    </row>
    <row r="168" spans="1:14">
      <c r="A168" s="15" t="s">
        <v>131</v>
      </c>
      <c r="B168" s="15" t="s">
        <v>908</v>
      </c>
      <c r="C168" s="15">
        <v>2</v>
      </c>
      <c r="D168" s="15"/>
      <c r="E168" s="15" t="s">
        <v>654</v>
      </c>
      <c r="F168" s="15" t="s">
        <v>482</v>
      </c>
      <c r="G168" s="15" t="s">
        <v>684</v>
      </c>
      <c r="H168" s="15"/>
      <c r="I168" s="15"/>
      <c r="J168" s="15"/>
      <c r="K168" s="15"/>
      <c r="L168" s="15"/>
      <c r="M168" s="15" t="s">
        <v>889</v>
      </c>
      <c r="N168">
        <v>4</v>
      </c>
    </row>
    <row r="169" spans="1:14">
      <c r="A169" s="15" t="s">
        <v>134</v>
      </c>
      <c r="B169" s="15" t="s">
        <v>908</v>
      </c>
      <c r="C169">
        <v>2</v>
      </c>
      <c r="E169" s="15" t="s">
        <v>654</v>
      </c>
      <c r="F169" t="s">
        <v>775</v>
      </c>
      <c r="G169" t="s">
        <v>684</v>
      </c>
      <c r="M169" s="15" t="s">
        <v>904</v>
      </c>
      <c r="N169">
        <v>4</v>
      </c>
    </row>
    <row r="170" spans="1:14">
      <c r="A170" s="15" t="s">
        <v>835</v>
      </c>
      <c r="B170" s="15" t="s">
        <v>908</v>
      </c>
      <c r="C170">
        <v>2</v>
      </c>
      <c r="E170" s="15" t="s">
        <v>654</v>
      </c>
      <c r="F170" t="s">
        <v>397</v>
      </c>
      <c r="G170" t="s">
        <v>712</v>
      </c>
      <c r="H170" t="s">
        <v>653</v>
      </c>
      <c r="M170" s="15" t="s">
        <v>882</v>
      </c>
      <c r="N170">
        <v>3</v>
      </c>
    </row>
    <row r="171" spans="1:14">
      <c r="A171" s="15" t="s">
        <v>296</v>
      </c>
      <c r="B171" s="15" t="s">
        <v>908</v>
      </c>
      <c r="C171" s="15">
        <v>2</v>
      </c>
      <c r="D171" s="15"/>
      <c r="E171" s="15" t="s">
        <v>654</v>
      </c>
      <c r="F171" s="15" t="s">
        <v>775</v>
      </c>
      <c r="G171" s="15" t="s">
        <v>747</v>
      </c>
      <c r="H171" s="15"/>
      <c r="I171" s="15"/>
      <c r="J171" s="15"/>
      <c r="K171" s="15"/>
      <c r="L171" s="15" t="s">
        <v>682</v>
      </c>
      <c r="M171" s="15" t="s">
        <v>889</v>
      </c>
      <c r="N171">
        <v>3</v>
      </c>
    </row>
    <row r="172" spans="1:14">
      <c r="A172" s="20" t="s">
        <v>450</v>
      </c>
      <c r="B172" s="20" t="s">
        <v>908</v>
      </c>
      <c r="C172" s="20">
        <v>2</v>
      </c>
      <c r="D172" s="20"/>
      <c r="E172" s="20" t="s">
        <v>654</v>
      </c>
      <c r="F172" s="20" t="s">
        <v>482</v>
      </c>
      <c r="G172" s="20" t="s">
        <v>747</v>
      </c>
      <c r="H172" s="20"/>
      <c r="I172" s="20"/>
      <c r="J172" s="20"/>
      <c r="K172" s="20"/>
      <c r="L172" s="20" t="s">
        <v>682</v>
      </c>
      <c r="M172" s="15" t="s">
        <v>889</v>
      </c>
      <c r="N172">
        <v>2</v>
      </c>
    </row>
    <row r="173" spans="1:14">
      <c r="A173" s="15" t="s">
        <v>132</v>
      </c>
      <c r="B173" s="15" t="s">
        <v>908</v>
      </c>
      <c r="C173" s="15">
        <v>2</v>
      </c>
      <c r="D173" s="15"/>
      <c r="E173" s="15" t="s">
        <v>654</v>
      </c>
      <c r="F173" s="15" t="s">
        <v>482</v>
      </c>
      <c r="G173" s="15" t="s">
        <v>684</v>
      </c>
      <c r="H173" s="15"/>
      <c r="I173" s="15"/>
      <c r="J173" s="15"/>
      <c r="K173" s="15"/>
      <c r="L173" s="15"/>
      <c r="M173" s="15" t="s">
        <v>889</v>
      </c>
      <c r="N173" s="15">
        <v>2</v>
      </c>
    </row>
    <row r="174" spans="1:14">
      <c r="A174" s="15" t="s">
        <v>837</v>
      </c>
      <c r="B174" s="15" t="s">
        <v>908</v>
      </c>
      <c r="C174" s="15">
        <v>2</v>
      </c>
      <c r="D174" s="15"/>
      <c r="E174" s="15" t="s">
        <v>697</v>
      </c>
      <c r="F174" s="15"/>
      <c r="G174" s="15"/>
      <c r="H174" s="15"/>
      <c r="I174" s="15"/>
      <c r="J174" s="15"/>
      <c r="K174" s="15" t="s">
        <v>477</v>
      </c>
      <c r="L174" s="15"/>
      <c r="M174" s="15" t="s">
        <v>477</v>
      </c>
      <c r="N174" s="15">
        <v>3</v>
      </c>
    </row>
    <row r="175" spans="1:14">
      <c r="A175" s="15" t="s">
        <v>103</v>
      </c>
      <c r="B175" s="15" t="s">
        <v>908</v>
      </c>
      <c r="C175" s="15">
        <v>3</v>
      </c>
      <c r="D175" s="15"/>
      <c r="E175" s="15" t="s">
        <v>654</v>
      </c>
      <c r="F175" s="15" t="s">
        <v>840</v>
      </c>
      <c r="G175" s="15"/>
      <c r="H175" s="15" t="s">
        <v>653</v>
      </c>
      <c r="I175" s="15" t="s">
        <v>804</v>
      </c>
      <c r="J175" s="15"/>
      <c r="K175" s="15"/>
      <c r="L175" s="15"/>
      <c r="M175" s="15" t="s">
        <v>954</v>
      </c>
      <c r="N175">
        <v>4</v>
      </c>
    </row>
    <row r="176" spans="1:14">
      <c r="A176" s="15" t="s">
        <v>449</v>
      </c>
      <c r="B176" s="15" t="s">
        <v>908</v>
      </c>
      <c r="C176" s="15">
        <v>3</v>
      </c>
      <c r="D176" s="15"/>
      <c r="E176" s="15" t="s">
        <v>654</v>
      </c>
      <c r="F176" s="15" t="s">
        <v>763</v>
      </c>
      <c r="G176" s="15" t="s">
        <v>736</v>
      </c>
      <c r="H176" s="15"/>
      <c r="I176" s="15" t="s">
        <v>751</v>
      </c>
      <c r="J176" s="15" t="s">
        <v>843</v>
      </c>
      <c r="K176" s="15"/>
      <c r="L176" s="15"/>
      <c r="M176" s="15" t="s">
        <v>882</v>
      </c>
      <c r="N176">
        <v>3</v>
      </c>
    </row>
    <row r="177" spans="1:14">
      <c r="A177" s="15" t="s">
        <v>122</v>
      </c>
      <c r="B177" s="15" t="s">
        <v>908</v>
      </c>
      <c r="C177" s="15">
        <v>3</v>
      </c>
      <c r="D177" s="15"/>
      <c r="E177" s="15" t="s">
        <v>654</v>
      </c>
      <c r="F177" s="15" t="s">
        <v>728</v>
      </c>
      <c r="G177" s="15" t="s">
        <v>736</v>
      </c>
      <c r="H177" s="15" t="s">
        <v>653</v>
      </c>
      <c r="I177" s="15"/>
      <c r="J177" s="15"/>
      <c r="K177" s="15"/>
      <c r="L177" s="15"/>
      <c r="M177" s="15" t="s">
        <v>882</v>
      </c>
      <c r="N177" s="15">
        <v>3</v>
      </c>
    </row>
    <row r="178" spans="1:14">
      <c r="A178" s="15" t="s">
        <v>121</v>
      </c>
      <c r="B178" s="15" t="s">
        <v>908</v>
      </c>
      <c r="C178">
        <v>3</v>
      </c>
      <c r="E178" s="15" t="s">
        <v>654</v>
      </c>
      <c r="F178" t="s">
        <v>728</v>
      </c>
      <c r="H178" t="s">
        <v>653</v>
      </c>
      <c r="I178" t="s">
        <v>678</v>
      </c>
      <c r="J178" t="s">
        <v>679</v>
      </c>
      <c r="M178" s="15" t="s">
        <v>879</v>
      </c>
      <c r="N178">
        <v>3</v>
      </c>
    </row>
    <row r="179" spans="1:14">
      <c r="A179" s="15" t="s">
        <v>451</v>
      </c>
      <c r="B179" s="15" t="s">
        <v>908</v>
      </c>
      <c r="C179" s="15">
        <v>4</v>
      </c>
      <c r="D179" s="15"/>
      <c r="E179" s="15" t="s">
        <v>654</v>
      </c>
      <c r="F179" s="15" t="s">
        <v>763</v>
      </c>
      <c r="G179" s="15" t="s">
        <v>822</v>
      </c>
      <c r="H179" s="15"/>
      <c r="I179" s="15" t="s">
        <v>804</v>
      </c>
      <c r="J179" s="15"/>
      <c r="K179" s="15" t="s">
        <v>477</v>
      </c>
      <c r="L179" s="15"/>
      <c r="M179" s="15" t="s">
        <v>879</v>
      </c>
      <c r="N179" s="15">
        <v>3</v>
      </c>
    </row>
    <row r="180" spans="1:14">
      <c r="A180" s="15" t="s">
        <v>312</v>
      </c>
      <c r="B180" s="15" t="s">
        <v>908</v>
      </c>
      <c r="C180" s="15">
        <v>5</v>
      </c>
      <c r="D180" s="15"/>
      <c r="E180" s="15" t="s">
        <v>654</v>
      </c>
      <c r="F180" s="15" t="s">
        <v>728</v>
      </c>
      <c r="G180" s="15" t="s">
        <v>652</v>
      </c>
      <c r="H180" s="15"/>
      <c r="I180" s="15" t="s">
        <v>678</v>
      </c>
      <c r="J180" s="15" t="s">
        <v>843</v>
      </c>
      <c r="K180" s="15"/>
      <c r="L180" s="15"/>
      <c r="M180" s="15" t="s">
        <v>886</v>
      </c>
      <c r="N180">
        <v>2</v>
      </c>
    </row>
    <row r="181" spans="1:14">
      <c r="A181" s="15" t="s">
        <v>521</v>
      </c>
      <c r="B181" s="15" t="s">
        <v>908</v>
      </c>
      <c r="C181">
        <v>6</v>
      </c>
      <c r="E181" s="15" t="s">
        <v>654</v>
      </c>
      <c r="F181" t="s">
        <v>661</v>
      </c>
      <c r="M181" s="15" t="s">
        <v>955</v>
      </c>
      <c r="N181">
        <v>3</v>
      </c>
    </row>
    <row r="182" spans="1:14">
      <c r="A182" s="15" t="s">
        <v>641</v>
      </c>
      <c r="B182" s="15" t="s">
        <v>758</v>
      </c>
      <c r="C182">
        <v>1</v>
      </c>
      <c r="D182" s="15"/>
      <c r="E182" t="s">
        <v>654</v>
      </c>
      <c r="F182" t="s">
        <v>728</v>
      </c>
      <c r="G182" t="s">
        <v>736</v>
      </c>
      <c r="M182" s="15" t="s">
        <v>882</v>
      </c>
      <c r="N182">
        <v>4</v>
      </c>
    </row>
    <row r="183" spans="1:14">
      <c r="A183" s="15" t="s">
        <v>629</v>
      </c>
      <c r="B183" s="15" t="s">
        <v>758</v>
      </c>
      <c r="C183" s="15">
        <v>1</v>
      </c>
      <c r="D183" s="15"/>
      <c r="E183" s="15" t="s">
        <v>654</v>
      </c>
      <c r="F183" s="15" t="s">
        <v>482</v>
      </c>
      <c r="G183" s="15" t="s">
        <v>712</v>
      </c>
      <c r="H183" s="15" t="s">
        <v>906</v>
      </c>
      <c r="I183" s="15"/>
      <c r="J183" s="15"/>
      <c r="K183" s="15"/>
      <c r="L183" s="15"/>
      <c r="M183" s="15" t="s">
        <v>882</v>
      </c>
      <c r="N183">
        <v>4</v>
      </c>
    </row>
    <row r="184" spans="1:14">
      <c r="A184" s="15" t="s">
        <v>609</v>
      </c>
      <c r="B184" s="15" t="s">
        <v>758</v>
      </c>
      <c r="C184">
        <v>2</v>
      </c>
      <c r="D184" s="15"/>
      <c r="E184" s="15" t="s">
        <v>654</v>
      </c>
      <c r="F184" t="s">
        <v>482</v>
      </c>
      <c r="G184" t="s">
        <v>809</v>
      </c>
      <c r="I184" s="15" t="s">
        <v>767</v>
      </c>
      <c r="K184" s="15"/>
      <c r="L184" s="15"/>
      <c r="M184" s="15" t="s">
        <v>882</v>
      </c>
      <c r="N184">
        <v>4</v>
      </c>
    </row>
    <row r="185" spans="1:14">
      <c r="A185" s="15" t="s">
        <v>608</v>
      </c>
      <c r="B185" s="15" t="s">
        <v>758</v>
      </c>
      <c r="C185">
        <v>2</v>
      </c>
      <c r="D185" s="15"/>
      <c r="E185" s="15" t="s">
        <v>654</v>
      </c>
      <c r="F185" t="s">
        <v>482</v>
      </c>
      <c r="G185" t="s">
        <v>684</v>
      </c>
      <c r="M185" s="15" t="s">
        <v>882</v>
      </c>
      <c r="N185">
        <v>4</v>
      </c>
    </row>
    <row r="186" spans="1:14">
      <c r="A186" s="15" t="s">
        <v>390</v>
      </c>
      <c r="B186" s="15" t="s">
        <v>758</v>
      </c>
      <c r="C186">
        <v>2</v>
      </c>
      <c r="D186" s="15"/>
      <c r="E186" s="15" t="s">
        <v>654</v>
      </c>
      <c r="F186" t="s">
        <v>763</v>
      </c>
      <c r="K186" t="s">
        <v>477</v>
      </c>
      <c r="L186" t="s">
        <v>682</v>
      </c>
      <c r="M186" s="15" t="s">
        <v>899</v>
      </c>
      <c r="N186">
        <v>4</v>
      </c>
    </row>
    <row r="187" spans="1:14">
      <c r="A187" s="15" t="s">
        <v>189</v>
      </c>
      <c r="B187" s="15" t="s">
        <v>758</v>
      </c>
      <c r="C187" s="15">
        <v>2</v>
      </c>
      <c r="D187" s="15"/>
      <c r="E187" s="15" t="s">
        <v>654</v>
      </c>
      <c r="F187" s="15" t="s">
        <v>825</v>
      </c>
      <c r="G187" s="15"/>
      <c r="H187" s="15"/>
      <c r="I187" s="15" t="s">
        <v>755</v>
      </c>
      <c r="J187" s="15"/>
      <c r="K187" s="15"/>
      <c r="L187" s="15"/>
      <c r="M187" s="15" t="s">
        <v>948</v>
      </c>
      <c r="N187" s="15">
        <v>3</v>
      </c>
    </row>
    <row r="188" spans="1:14">
      <c r="A188" s="15" t="s">
        <v>411</v>
      </c>
      <c r="B188" s="15" t="s">
        <v>758</v>
      </c>
      <c r="C188" s="15">
        <v>2</v>
      </c>
      <c r="D188" s="15"/>
      <c r="E188" s="15" t="s">
        <v>654</v>
      </c>
      <c r="F188" s="15" t="s">
        <v>763</v>
      </c>
      <c r="G188" s="15" t="s">
        <v>736</v>
      </c>
      <c r="H188" s="15"/>
      <c r="I188" s="15"/>
      <c r="J188" s="15" t="s">
        <v>814</v>
      </c>
      <c r="K188" s="15"/>
      <c r="L188" s="15"/>
      <c r="M188" s="15" t="s">
        <v>882</v>
      </c>
      <c r="N188" s="15">
        <v>2</v>
      </c>
    </row>
    <row r="189" spans="1:14">
      <c r="A189" s="15" t="s">
        <v>117</v>
      </c>
      <c r="B189" s="15" t="s">
        <v>758</v>
      </c>
      <c r="C189">
        <v>2</v>
      </c>
      <c r="D189" s="15"/>
      <c r="E189" t="s">
        <v>697</v>
      </c>
      <c r="I189" s="15"/>
      <c r="J189" t="s">
        <v>815</v>
      </c>
      <c r="K189" t="s">
        <v>477</v>
      </c>
      <c r="M189" s="15" t="s">
        <v>898</v>
      </c>
      <c r="N189">
        <v>4</v>
      </c>
    </row>
    <row r="190" spans="1:14">
      <c r="A190" s="15" t="s">
        <v>940</v>
      </c>
      <c r="B190" s="15" t="s">
        <v>758</v>
      </c>
      <c r="C190" s="15">
        <v>2</v>
      </c>
      <c r="D190" s="15"/>
      <c r="E190" s="15" t="s">
        <v>697</v>
      </c>
      <c r="F190" s="15"/>
      <c r="G190" s="15"/>
      <c r="H190" s="15"/>
      <c r="I190" s="15"/>
      <c r="J190" s="15" t="s">
        <v>703</v>
      </c>
      <c r="K190" s="15"/>
      <c r="L190" s="15"/>
      <c r="M190" s="15" t="s">
        <v>878</v>
      </c>
      <c r="N190" s="15">
        <v>2</v>
      </c>
    </row>
    <row r="191" spans="1:14">
      <c r="A191" s="15" t="s">
        <v>324</v>
      </c>
      <c r="B191" s="15" t="s">
        <v>758</v>
      </c>
      <c r="C191" s="15">
        <v>2</v>
      </c>
      <c r="D191" s="15"/>
      <c r="E191" s="15" t="s">
        <v>659</v>
      </c>
      <c r="F191" s="15"/>
      <c r="G191" s="15"/>
      <c r="H191" s="15"/>
      <c r="I191" s="15"/>
      <c r="J191" s="15"/>
      <c r="K191" s="15" t="s">
        <v>477</v>
      </c>
      <c r="L191" s="15"/>
      <c r="M191" s="15" t="s">
        <v>898</v>
      </c>
      <c r="N191" s="15">
        <v>4</v>
      </c>
    </row>
    <row r="192" spans="1:14">
      <c r="A192" s="15" t="s">
        <v>824</v>
      </c>
      <c r="B192" s="15" t="s">
        <v>758</v>
      </c>
      <c r="C192">
        <v>2</v>
      </c>
      <c r="D192" s="15" t="s">
        <v>698</v>
      </c>
      <c r="K192" s="15"/>
      <c r="L192" s="15" t="s">
        <v>682</v>
      </c>
      <c r="M192" s="15" t="s">
        <v>898</v>
      </c>
      <c r="N192">
        <v>3</v>
      </c>
    </row>
    <row r="193" spans="1:14">
      <c r="A193" s="15" t="s">
        <v>51</v>
      </c>
      <c r="B193" s="15" t="s">
        <v>758</v>
      </c>
      <c r="C193" s="15">
        <v>3</v>
      </c>
      <c r="D193" s="15" t="s">
        <v>698</v>
      </c>
      <c r="E193" s="15" t="s">
        <v>699</v>
      </c>
      <c r="F193" s="15"/>
      <c r="G193" s="15"/>
      <c r="H193" s="15"/>
      <c r="I193" s="15"/>
      <c r="J193" s="15"/>
      <c r="K193" s="15" t="s">
        <v>477</v>
      </c>
      <c r="L193" s="15"/>
      <c r="M193" s="15" t="s">
        <v>898</v>
      </c>
      <c r="N193">
        <v>3</v>
      </c>
    </row>
    <row r="194" spans="1:14">
      <c r="A194" s="15" t="s">
        <v>472</v>
      </c>
      <c r="B194" s="15" t="s">
        <v>758</v>
      </c>
      <c r="C194" s="15">
        <v>3</v>
      </c>
      <c r="D194" s="15"/>
      <c r="E194" s="15" t="s">
        <v>654</v>
      </c>
      <c r="F194" s="15" t="s">
        <v>741</v>
      </c>
      <c r="G194" s="15"/>
      <c r="H194" s="15"/>
      <c r="I194" s="15"/>
      <c r="J194" s="15"/>
      <c r="K194" s="15" t="s">
        <v>477</v>
      </c>
      <c r="L194" s="15"/>
      <c r="M194" s="15" t="s">
        <v>879</v>
      </c>
      <c r="N194" s="15">
        <v>4</v>
      </c>
    </row>
    <row r="195" spans="1:14">
      <c r="A195" s="15" t="s">
        <v>281</v>
      </c>
      <c r="B195" s="15" t="s">
        <v>758</v>
      </c>
      <c r="C195" s="15">
        <v>3</v>
      </c>
      <c r="D195" s="15"/>
      <c r="E195" s="15" t="s">
        <v>654</v>
      </c>
      <c r="F195" s="15" t="s">
        <v>777</v>
      </c>
      <c r="G195" s="15"/>
      <c r="H195" s="15"/>
      <c r="I195" s="15" t="s">
        <v>668</v>
      </c>
      <c r="J195" s="15" t="s">
        <v>751</v>
      </c>
      <c r="K195" s="15"/>
      <c r="L195" s="15"/>
      <c r="M195" s="15" t="s">
        <v>882</v>
      </c>
      <c r="N195" s="15">
        <v>2</v>
      </c>
    </row>
    <row r="196" spans="1:14">
      <c r="A196" s="15" t="s">
        <v>128</v>
      </c>
      <c r="B196" s="15" t="s">
        <v>758</v>
      </c>
      <c r="C196" s="15">
        <v>3</v>
      </c>
      <c r="D196" s="15"/>
      <c r="E196" s="15" t="s">
        <v>654</v>
      </c>
      <c r="F196" s="15" t="s">
        <v>728</v>
      </c>
      <c r="G196" s="15"/>
      <c r="H196" s="15"/>
      <c r="I196" s="15" t="s">
        <v>679</v>
      </c>
      <c r="J196" s="15" t="s">
        <v>815</v>
      </c>
      <c r="K196" s="15"/>
      <c r="L196" s="15"/>
      <c r="M196" s="15" t="s">
        <v>882</v>
      </c>
      <c r="N196" s="15">
        <v>2</v>
      </c>
    </row>
    <row r="197" spans="1:14">
      <c r="A197" s="15" t="s">
        <v>301</v>
      </c>
      <c r="B197" s="15" t="s">
        <v>758</v>
      </c>
      <c r="C197" s="15">
        <v>3</v>
      </c>
      <c r="D197" s="15"/>
      <c r="E197" s="15" t="s">
        <v>654</v>
      </c>
      <c r="F197" s="15" t="s">
        <v>482</v>
      </c>
      <c r="G197" s="15" t="s">
        <v>684</v>
      </c>
      <c r="H197" s="15"/>
      <c r="I197" s="15"/>
      <c r="J197" s="15" t="s">
        <v>686</v>
      </c>
      <c r="K197" s="15"/>
      <c r="L197" s="15"/>
      <c r="M197" s="15" t="s">
        <v>880</v>
      </c>
      <c r="N197" s="15">
        <v>2</v>
      </c>
    </row>
    <row r="198" spans="1:14">
      <c r="A198" s="15" t="s">
        <v>57</v>
      </c>
      <c r="B198" s="15" t="s">
        <v>758</v>
      </c>
      <c r="C198" s="15">
        <v>3</v>
      </c>
      <c r="D198" s="15"/>
      <c r="E198" s="15" t="s">
        <v>697</v>
      </c>
      <c r="F198" s="15"/>
      <c r="G198" s="15"/>
      <c r="H198" s="15"/>
      <c r="I198" s="15"/>
      <c r="J198" s="15"/>
      <c r="K198" s="15" t="s">
        <v>477</v>
      </c>
      <c r="L198" s="15"/>
      <c r="M198" s="15" t="s">
        <v>945</v>
      </c>
      <c r="N198">
        <v>3</v>
      </c>
    </row>
    <row r="199" spans="1:14">
      <c r="A199" s="15" t="s">
        <v>475</v>
      </c>
      <c r="B199" s="15" t="s">
        <v>758</v>
      </c>
      <c r="C199" s="15">
        <v>3</v>
      </c>
      <c r="D199" s="15"/>
      <c r="E199" s="15" t="s">
        <v>659</v>
      </c>
      <c r="F199" s="15"/>
      <c r="G199" s="15"/>
      <c r="H199" s="15"/>
      <c r="I199" s="15"/>
      <c r="J199" s="15"/>
      <c r="K199" s="15"/>
      <c r="L199" s="15"/>
      <c r="M199" s="15" t="s">
        <v>895</v>
      </c>
      <c r="N199" s="15">
        <v>4</v>
      </c>
    </row>
    <row r="200" spans="1:14">
      <c r="A200" s="15" t="s">
        <v>345</v>
      </c>
      <c r="B200" s="15" t="s">
        <v>758</v>
      </c>
      <c r="C200">
        <v>3</v>
      </c>
      <c r="D200" s="15" t="s">
        <v>698</v>
      </c>
      <c r="E200" s="15"/>
      <c r="F200" s="15"/>
      <c r="M200" s="15" t="s">
        <v>898</v>
      </c>
      <c r="N200">
        <v>4</v>
      </c>
    </row>
    <row r="201" spans="1:14">
      <c r="A201" s="15" t="s">
        <v>273</v>
      </c>
      <c r="B201" s="15" t="s">
        <v>758</v>
      </c>
      <c r="C201" s="15">
        <v>4</v>
      </c>
      <c r="D201" s="15"/>
      <c r="E201" s="15" t="s">
        <v>654</v>
      </c>
      <c r="F201" s="15" t="s">
        <v>482</v>
      </c>
      <c r="G201" s="15" t="s">
        <v>826</v>
      </c>
      <c r="H201" s="15"/>
      <c r="I201" s="15" t="s">
        <v>751</v>
      </c>
      <c r="J201" s="15" t="s">
        <v>764</v>
      </c>
      <c r="K201" s="15"/>
      <c r="L201" s="15" t="s">
        <v>682</v>
      </c>
      <c r="M201" s="15" t="s">
        <v>899</v>
      </c>
      <c r="N201">
        <v>4</v>
      </c>
    </row>
    <row r="202" spans="1:14">
      <c r="A202" s="15" t="s">
        <v>357</v>
      </c>
      <c r="B202" s="15" t="s">
        <v>758</v>
      </c>
      <c r="C202" s="15">
        <v>4</v>
      </c>
      <c r="D202" s="15"/>
      <c r="E202" s="15" t="s">
        <v>654</v>
      </c>
      <c r="F202" s="15" t="s">
        <v>785</v>
      </c>
      <c r="G202" s="15"/>
      <c r="H202" s="15"/>
      <c r="I202" s="15"/>
      <c r="J202" s="15"/>
      <c r="K202" s="15" t="s">
        <v>477</v>
      </c>
      <c r="L202" s="15"/>
      <c r="M202" s="15" t="s">
        <v>879</v>
      </c>
      <c r="N202">
        <v>4</v>
      </c>
    </row>
    <row r="203" spans="1:14">
      <c r="A203" s="15" t="s">
        <v>515</v>
      </c>
      <c r="B203" s="15" t="s">
        <v>758</v>
      </c>
      <c r="C203">
        <v>4</v>
      </c>
      <c r="D203" s="15"/>
      <c r="E203" t="s">
        <v>654</v>
      </c>
      <c r="G203" t="s">
        <v>683</v>
      </c>
      <c r="K203" s="15" t="s">
        <v>477</v>
      </c>
      <c r="M203" s="15" t="s">
        <v>879</v>
      </c>
      <c r="N203">
        <v>3</v>
      </c>
    </row>
    <row r="204" spans="1:14">
      <c r="A204" s="15" t="s">
        <v>258</v>
      </c>
      <c r="B204" s="15" t="s">
        <v>758</v>
      </c>
      <c r="C204" s="15">
        <v>4</v>
      </c>
      <c r="D204" s="15"/>
      <c r="E204" s="15" t="s">
        <v>697</v>
      </c>
      <c r="F204" s="15"/>
      <c r="G204" s="15"/>
      <c r="H204" s="15"/>
      <c r="I204" s="15"/>
      <c r="J204" s="15" t="s">
        <v>520</v>
      </c>
      <c r="K204" s="15" t="s">
        <v>477</v>
      </c>
      <c r="L204" s="15"/>
      <c r="M204" s="15" t="s">
        <v>898</v>
      </c>
      <c r="N204">
        <v>4</v>
      </c>
    </row>
    <row r="205" spans="1:14">
      <c r="A205" s="15" t="s">
        <v>610</v>
      </c>
      <c r="B205" s="15" t="s">
        <v>758</v>
      </c>
      <c r="C205">
        <v>4</v>
      </c>
      <c r="D205" s="15"/>
      <c r="E205" s="15" t="s">
        <v>659</v>
      </c>
      <c r="F205" s="15"/>
      <c r="I205" s="15"/>
      <c r="J205" s="15"/>
      <c r="M205" s="15" t="s">
        <v>895</v>
      </c>
      <c r="N205">
        <v>3</v>
      </c>
    </row>
    <row r="206" spans="1:14">
      <c r="A206" s="15" t="s">
        <v>250</v>
      </c>
      <c r="B206" s="15" t="s">
        <v>758</v>
      </c>
      <c r="C206" s="15">
        <v>5</v>
      </c>
      <c r="D206" s="15"/>
      <c r="E206" s="15" t="s">
        <v>654</v>
      </c>
      <c r="F206" s="15" t="s">
        <v>827</v>
      </c>
      <c r="G206" s="15"/>
      <c r="H206" s="15"/>
      <c r="I206" s="15" t="s">
        <v>790</v>
      </c>
      <c r="J206" s="15" t="s">
        <v>520</v>
      </c>
      <c r="K206" s="15"/>
      <c r="L206" s="15"/>
      <c r="M206" s="15" t="s">
        <v>661</v>
      </c>
      <c r="N206" s="15">
        <v>3</v>
      </c>
    </row>
    <row r="207" spans="1:14">
      <c r="A207" s="15" t="s">
        <v>600</v>
      </c>
      <c r="B207" s="15" t="s">
        <v>758</v>
      </c>
      <c r="C207">
        <v>5</v>
      </c>
      <c r="D207" s="15"/>
      <c r="E207" t="s">
        <v>654</v>
      </c>
      <c r="F207" t="s">
        <v>752</v>
      </c>
      <c r="L207" s="15"/>
      <c r="M207" s="15" t="s">
        <v>895</v>
      </c>
      <c r="N207">
        <v>3</v>
      </c>
    </row>
    <row r="208" spans="1:14">
      <c r="A208" s="15" t="s">
        <v>584</v>
      </c>
      <c r="B208" s="15" t="s">
        <v>758</v>
      </c>
      <c r="C208" s="15">
        <v>5</v>
      </c>
      <c r="D208" s="15"/>
      <c r="E208" s="15" t="s">
        <v>697</v>
      </c>
      <c r="F208" s="15"/>
      <c r="G208" s="15"/>
      <c r="H208" s="15"/>
      <c r="I208" s="15"/>
      <c r="J208" s="15"/>
      <c r="K208" s="15"/>
      <c r="L208" s="15"/>
      <c r="M208" s="15" t="s">
        <v>885</v>
      </c>
      <c r="N208">
        <v>3</v>
      </c>
    </row>
    <row r="209" spans="1:14">
      <c r="A209" s="15" t="s">
        <v>595</v>
      </c>
      <c r="B209" s="15" t="s">
        <v>758</v>
      </c>
      <c r="C209" s="15">
        <v>6</v>
      </c>
      <c r="D209" s="15"/>
      <c r="E209" s="15" t="s">
        <v>654</v>
      </c>
      <c r="F209" s="15" t="s">
        <v>821</v>
      </c>
      <c r="G209" s="15"/>
      <c r="H209" s="15"/>
      <c r="I209" s="15" t="s">
        <v>678</v>
      </c>
      <c r="J209" s="15" t="s">
        <v>751</v>
      </c>
      <c r="K209" s="15"/>
      <c r="L209" s="15"/>
      <c r="M209" s="15" t="s">
        <v>661</v>
      </c>
      <c r="N209">
        <v>4</v>
      </c>
    </row>
    <row r="210" spans="1:14">
      <c r="A210" s="15" t="s">
        <v>458</v>
      </c>
      <c r="B210" s="15" t="s">
        <v>758</v>
      </c>
      <c r="C210" s="15">
        <v>6</v>
      </c>
      <c r="D210" s="15"/>
      <c r="E210" s="15" t="s">
        <v>654</v>
      </c>
      <c r="F210" s="15" t="s">
        <v>728</v>
      </c>
      <c r="G210" s="15"/>
      <c r="H210" s="15"/>
      <c r="I210" s="15"/>
      <c r="J210" s="15"/>
      <c r="K210" s="15" t="s">
        <v>477</v>
      </c>
      <c r="L210" s="15" t="s">
        <v>682</v>
      </c>
      <c r="M210" s="15" t="s">
        <v>899</v>
      </c>
      <c r="N210">
        <v>4</v>
      </c>
    </row>
    <row r="211" spans="1:14">
      <c r="A211" s="15" t="s">
        <v>236</v>
      </c>
      <c r="B211" s="15" t="s">
        <v>758</v>
      </c>
      <c r="C211" s="15">
        <v>6</v>
      </c>
      <c r="D211" s="15"/>
      <c r="E211" s="15" t="s">
        <v>697</v>
      </c>
      <c r="F211" s="15"/>
      <c r="G211" s="15"/>
      <c r="H211" s="15"/>
      <c r="I211" s="15"/>
      <c r="J211" s="15"/>
      <c r="K211" s="15" t="s">
        <v>477</v>
      </c>
      <c r="L211" s="15"/>
      <c r="M211" s="15" t="s">
        <v>898</v>
      </c>
      <c r="N211">
        <v>4</v>
      </c>
    </row>
    <row r="212" spans="1:14">
      <c r="A212" s="15" t="s">
        <v>267</v>
      </c>
      <c r="B212" s="15" t="s">
        <v>758</v>
      </c>
      <c r="C212" s="15">
        <v>6</v>
      </c>
      <c r="D212" s="15"/>
      <c r="E212" s="15" t="s">
        <v>659</v>
      </c>
      <c r="F212" s="15"/>
      <c r="G212" s="15"/>
      <c r="H212" s="15"/>
      <c r="I212" s="15" t="s">
        <v>704</v>
      </c>
      <c r="J212" s="15"/>
      <c r="K212" s="15" t="s">
        <v>477</v>
      </c>
      <c r="L212" s="15"/>
      <c r="M212" s="15" t="s">
        <v>945</v>
      </c>
      <c r="N212" s="15">
        <v>3</v>
      </c>
    </row>
    <row r="213" spans="1:14">
      <c r="A213" s="15" t="s">
        <v>567</v>
      </c>
      <c r="B213" s="15" t="s">
        <v>651</v>
      </c>
      <c r="C213" s="15">
        <v>1</v>
      </c>
      <c r="D213" s="15" t="s">
        <v>698</v>
      </c>
      <c r="E213" s="15" t="s">
        <v>699</v>
      </c>
      <c r="F213" s="15"/>
      <c r="G213" s="15"/>
      <c r="H213" s="15"/>
      <c r="I213" s="15"/>
      <c r="J213" s="15"/>
      <c r="K213" s="15"/>
      <c r="L213" s="15"/>
      <c r="M213" s="15" t="s">
        <v>954</v>
      </c>
      <c r="N213">
        <v>3</v>
      </c>
    </row>
    <row r="214" spans="1:14">
      <c r="A214" s="15" t="s">
        <v>2</v>
      </c>
      <c r="B214" s="15" t="s">
        <v>651</v>
      </c>
      <c r="C214" s="15">
        <v>1</v>
      </c>
      <c r="D214" s="15"/>
      <c r="E214" s="15" t="s">
        <v>654</v>
      </c>
      <c r="F214" s="15" t="s">
        <v>482</v>
      </c>
      <c r="G214" s="15" t="s">
        <v>648</v>
      </c>
      <c r="H214" s="15" t="s">
        <v>653</v>
      </c>
      <c r="I214" s="15"/>
      <c r="J214" s="15"/>
      <c r="K214" s="15"/>
      <c r="L214" s="15"/>
      <c r="M214" s="15" t="s">
        <v>882</v>
      </c>
      <c r="N214" s="15">
        <v>4</v>
      </c>
    </row>
    <row r="215" spans="1:14">
      <c r="A215" s="15" t="s">
        <v>639</v>
      </c>
      <c r="B215" s="15" t="s">
        <v>651</v>
      </c>
      <c r="C215" s="15">
        <v>1</v>
      </c>
      <c r="D215" s="15"/>
      <c r="E215" s="15" t="s">
        <v>654</v>
      </c>
      <c r="F215" s="15" t="s">
        <v>670</v>
      </c>
      <c r="G215" s="15" t="s">
        <v>648</v>
      </c>
      <c r="H215" s="15" t="s">
        <v>653</v>
      </c>
      <c r="I215" s="15"/>
      <c r="J215" s="15"/>
      <c r="K215" s="15"/>
      <c r="L215" s="15"/>
      <c r="M215" s="15" t="s">
        <v>882</v>
      </c>
      <c r="N215">
        <v>4</v>
      </c>
    </row>
    <row r="216" spans="1:14">
      <c r="A216" s="15" t="s">
        <v>96</v>
      </c>
      <c r="B216" s="15" t="s">
        <v>651</v>
      </c>
      <c r="C216">
        <v>1</v>
      </c>
      <c r="D216" s="15"/>
      <c r="E216" s="15" t="s">
        <v>654</v>
      </c>
      <c r="F216" t="s">
        <v>482</v>
      </c>
      <c r="G216" t="s">
        <v>683</v>
      </c>
      <c r="H216" t="s">
        <v>653</v>
      </c>
      <c r="M216" s="15" t="s">
        <v>889</v>
      </c>
      <c r="N216">
        <v>4</v>
      </c>
    </row>
    <row r="217" spans="1:14">
      <c r="A217" s="15" t="s">
        <v>13</v>
      </c>
      <c r="B217" s="15" t="s">
        <v>651</v>
      </c>
      <c r="C217">
        <v>1</v>
      </c>
      <c r="E217" s="15" t="s">
        <v>659</v>
      </c>
      <c r="F217" s="15"/>
      <c r="I217" s="15"/>
      <c r="K217" t="s">
        <v>477</v>
      </c>
      <c r="M217" s="15" t="s">
        <v>477</v>
      </c>
      <c r="N217">
        <v>3</v>
      </c>
    </row>
    <row r="218" spans="1:14">
      <c r="A218" s="15" t="s">
        <v>19</v>
      </c>
      <c r="B218" s="15" t="s">
        <v>651</v>
      </c>
      <c r="C218">
        <v>2</v>
      </c>
      <c r="E218" s="15" t="s">
        <v>654</v>
      </c>
      <c r="F218" s="15" t="s">
        <v>730</v>
      </c>
      <c r="G218" s="15"/>
      <c r="H218" t="s">
        <v>653</v>
      </c>
      <c r="M218" s="15" t="s">
        <v>881</v>
      </c>
      <c r="N218">
        <v>3</v>
      </c>
    </row>
    <row r="219" spans="1:14">
      <c r="A219" s="15" t="s">
        <v>455</v>
      </c>
      <c r="B219" s="15" t="s">
        <v>651</v>
      </c>
      <c r="C219" s="15">
        <v>2</v>
      </c>
      <c r="D219" s="15"/>
      <c r="E219" s="15" t="s">
        <v>654</v>
      </c>
      <c r="F219" s="15" t="s">
        <v>482</v>
      </c>
      <c r="G219" s="15" t="s">
        <v>652</v>
      </c>
      <c r="H219" s="15" t="s">
        <v>653</v>
      </c>
      <c r="I219" s="15"/>
      <c r="J219" s="15" t="s">
        <v>814</v>
      </c>
      <c r="K219" s="15"/>
      <c r="L219" s="15"/>
      <c r="M219" s="15" t="s">
        <v>882</v>
      </c>
      <c r="N219">
        <v>3</v>
      </c>
    </row>
    <row r="220" spans="1:14">
      <c r="A220" s="15" t="s">
        <v>583</v>
      </c>
      <c r="B220" s="15" t="s">
        <v>651</v>
      </c>
      <c r="C220" s="15">
        <v>2</v>
      </c>
      <c r="D220" s="15"/>
      <c r="E220" s="15" t="s">
        <v>654</v>
      </c>
      <c r="F220" s="15" t="s">
        <v>656</v>
      </c>
      <c r="G220" s="15" t="s">
        <v>683</v>
      </c>
      <c r="H220" s="15" t="s">
        <v>653</v>
      </c>
      <c r="I220" s="15"/>
      <c r="J220" s="15"/>
      <c r="K220" s="15"/>
      <c r="L220" s="15"/>
      <c r="M220" s="15" t="s">
        <v>892</v>
      </c>
      <c r="N220">
        <v>3</v>
      </c>
    </row>
    <row r="221" spans="1:14">
      <c r="A221" s="20" t="s">
        <v>104</v>
      </c>
      <c r="B221" s="20" t="s">
        <v>651</v>
      </c>
      <c r="C221" s="20">
        <v>2</v>
      </c>
      <c r="D221" s="20"/>
      <c r="E221" s="20" t="s">
        <v>654</v>
      </c>
      <c r="F221" s="20" t="s">
        <v>670</v>
      </c>
      <c r="G221" s="20" t="s">
        <v>652</v>
      </c>
      <c r="H221" s="20" t="s">
        <v>653</v>
      </c>
      <c r="I221" s="20" t="s">
        <v>668</v>
      </c>
      <c r="J221" s="20" t="s">
        <v>745</v>
      </c>
      <c r="K221" s="20"/>
      <c r="L221" s="20"/>
      <c r="M221" s="15" t="s">
        <v>954</v>
      </c>
      <c r="N221">
        <v>3</v>
      </c>
    </row>
    <row r="222" spans="1:14">
      <c r="A222" s="15" t="s">
        <v>102</v>
      </c>
      <c r="B222" s="15" t="s">
        <v>651</v>
      </c>
      <c r="C222">
        <v>3</v>
      </c>
      <c r="D222" t="s">
        <v>698</v>
      </c>
      <c r="E222" s="15" t="s">
        <v>699</v>
      </c>
      <c r="F222" s="15"/>
      <c r="G222" s="15"/>
      <c r="M222" s="15" t="s">
        <v>894</v>
      </c>
      <c r="N222">
        <v>3</v>
      </c>
    </row>
    <row r="223" spans="1:14">
      <c r="A223" s="15" t="s">
        <v>453</v>
      </c>
      <c r="B223" s="15" t="s">
        <v>651</v>
      </c>
      <c r="C223" s="15">
        <v>3</v>
      </c>
      <c r="D223" s="15" t="s">
        <v>698</v>
      </c>
      <c r="E223" s="15" t="s">
        <v>699</v>
      </c>
      <c r="F223" s="15"/>
      <c r="G223" s="15"/>
      <c r="H223" s="15" t="s">
        <v>653</v>
      </c>
      <c r="I223" s="15"/>
      <c r="J223" s="15"/>
      <c r="K223" s="15" t="s">
        <v>477</v>
      </c>
      <c r="L223" s="15"/>
      <c r="M223" s="15" t="s">
        <v>477</v>
      </c>
      <c r="N223" s="15">
        <v>3</v>
      </c>
    </row>
    <row r="224" spans="1:14">
      <c r="A224" s="15" t="s">
        <v>297</v>
      </c>
      <c r="B224" s="15" t="s">
        <v>651</v>
      </c>
      <c r="C224">
        <v>3</v>
      </c>
      <c r="E224" s="15" t="s">
        <v>654</v>
      </c>
      <c r="F224" t="s">
        <v>482</v>
      </c>
      <c r="G224" t="s">
        <v>684</v>
      </c>
      <c r="J224" t="s">
        <v>686</v>
      </c>
      <c r="K224" s="15"/>
      <c r="M224" s="15" t="s">
        <v>880</v>
      </c>
      <c r="N224">
        <v>3</v>
      </c>
    </row>
    <row r="225" spans="1:14">
      <c r="A225" s="15" t="s">
        <v>113</v>
      </c>
      <c r="B225" s="15" t="s">
        <v>651</v>
      </c>
      <c r="C225" s="15">
        <v>3</v>
      </c>
      <c r="D225" s="15"/>
      <c r="E225" s="15" t="s">
        <v>654</v>
      </c>
      <c r="F225" s="15" t="s">
        <v>482</v>
      </c>
      <c r="G225" s="15"/>
      <c r="H225" s="15" t="s">
        <v>653</v>
      </c>
      <c r="I225" s="15"/>
      <c r="J225" s="15" t="s">
        <v>667</v>
      </c>
      <c r="K225" s="15"/>
      <c r="L225" s="15"/>
      <c r="M225" s="15" t="s">
        <v>667</v>
      </c>
      <c r="N225">
        <v>3</v>
      </c>
    </row>
    <row r="226" spans="1:14">
      <c r="A226" s="15" t="s">
        <v>468</v>
      </c>
      <c r="B226" s="15" t="s">
        <v>651</v>
      </c>
      <c r="C226" s="15">
        <v>3</v>
      </c>
      <c r="D226" s="15"/>
      <c r="E226" s="15" t="s">
        <v>654</v>
      </c>
      <c r="F226" s="15" t="s">
        <v>482</v>
      </c>
      <c r="G226" s="15"/>
      <c r="H226" s="15" t="s">
        <v>653</v>
      </c>
      <c r="I226" s="15" t="s">
        <v>668</v>
      </c>
      <c r="J226" s="15" t="s">
        <v>667</v>
      </c>
      <c r="K226" s="15"/>
      <c r="L226" s="15"/>
      <c r="M226" s="15" t="s">
        <v>667</v>
      </c>
      <c r="N226">
        <v>3</v>
      </c>
    </row>
    <row r="227" spans="1:14">
      <c r="A227" s="15" t="s">
        <v>620</v>
      </c>
      <c r="B227" s="15" t="s">
        <v>651</v>
      </c>
      <c r="C227">
        <v>3</v>
      </c>
      <c r="E227" s="15" t="s">
        <v>654</v>
      </c>
      <c r="F227" s="15" t="s">
        <v>482</v>
      </c>
      <c r="G227" s="15" t="s">
        <v>683</v>
      </c>
      <c r="H227" t="s">
        <v>653</v>
      </c>
      <c r="K227" t="s">
        <v>477</v>
      </c>
      <c r="M227" s="15" t="s">
        <v>879</v>
      </c>
      <c r="N227">
        <v>3</v>
      </c>
    </row>
    <row r="228" spans="1:14">
      <c r="A228" s="15" t="s">
        <v>221</v>
      </c>
      <c r="B228" s="15" t="s">
        <v>651</v>
      </c>
      <c r="C228" s="15">
        <v>3</v>
      </c>
      <c r="D228" s="15"/>
      <c r="E228" s="15" t="s">
        <v>654</v>
      </c>
      <c r="F228" s="15" t="s">
        <v>688</v>
      </c>
      <c r="G228" s="15"/>
      <c r="H228" s="15" t="s">
        <v>653</v>
      </c>
      <c r="I228" s="15" t="s">
        <v>679</v>
      </c>
      <c r="J228" s="15"/>
      <c r="K228" s="15"/>
      <c r="L228" s="15"/>
      <c r="M228" s="15" t="s">
        <v>889</v>
      </c>
      <c r="N228">
        <v>3</v>
      </c>
    </row>
    <row r="229" spans="1:14">
      <c r="A229" s="15" t="s">
        <v>569</v>
      </c>
      <c r="B229" s="15" t="s">
        <v>651</v>
      </c>
      <c r="C229" s="15">
        <v>3</v>
      </c>
      <c r="D229" s="15"/>
      <c r="E229" s="15" t="s">
        <v>654</v>
      </c>
      <c r="F229" s="15" t="s">
        <v>728</v>
      </c>
      <c r="G229" s="15"/>
      <c r="H229" s="15" t="s">
        <v>653</v>
      </c>
      <c r="I229" s="15" t="s">
        <v>678</v>
      </c>
      <c r="J229" s="15"/>
      <c r="K229" s="15"/>
      <c r="L229" s="15"/>
      <c r="M229" s="15" t="s">
        <v>889</v>
      </c>
      <c r="N229">
        <v>3</v>
      </c>
    </row>
    <row r="230" spans="1:14">
      <c r="A230" s="15" t="s">
        <v>591</v>
      </c>
      <c r="B230" s="15" t="s">
        <v>651</v>
      </c>
      <c r="C230" s="15">
        <v>3</v>
      </c>
      <c r="D230" s="15"/>
      <c r="E230" s="15" t="s">
        <v>659</v>
      </c>
      <c r="F230" s="15"/>
      <c r="G230" s="15"/>
      <c r="H230" s="15"/>
      <c r="I230" s="15"/>
      <c r="J230" s="15"/>
      <c r="K230" s="15"/>
      <c r="L230" s="15"/>
      <c r="M230" s="15" t="s">
        <v>904</v>
      </c>
      <c r="N230" s="15">
        <v>4</v>
      </c>
    </row>
    <row r="231" spans="1:14">
      <c r="A231" s="15" t="s">
        <v>97</v>
      </c>
      <c r="B231" s="15" t="s">
        <v>651</v>
      </c>
      <c r="C231">
        <v>4</v>
      </c>
      <c r="E231" s="15" t="s">
        <v>654</v>
      </c>
      <c r="F231" s="15" t="s">
        <v>676</v>
      </c>
      <c r="H231" t="s">
        <v>653</v>
      </c>
      <c r="I231" s="15" t="s">
        <v>679</v>
      </c>
      <c r="J231" t="s">
        <v>815</v>
      </c>
      <c r="M231" s="15" t="s">
        <v>948</v>
      </c>
      <c r="N231">
        <v>3</v>
      </c>
    </row>
    <row r="232" spans="1:14">
      <c r="A232" s="15" t="s">
        <v>505</v>
      </c>
      <c r="B232" s="15" t="s">
        <v>651</v>
      </c>
      <c r="C232" s="15">
        <v>4</v>
      </c>
      <c r="D232" s="15"/>
      <c r="E232" s="15" t="s">
        <v>654</v>
      </c>
      <c r="F232" s="15" t="s">
        <v>482</v>
      </c>
      <c r="G232" s="15"/>
      <c r="H232" s="15" t="s">
        <v>653</v>
      </c>
      <c r="I232" s="15"/>
      <c r="J232" s="15" t="s">
        <v>667</v>
      </c>
      <c r="K232" s="15"/>
      <c r="L232" s="15"/>
      <c r="M232" s="15" t="s">
        <v>667</v>
      </c>
      <c r="N232">
        <v>3</v>
      </c>
    </row>
    <row r="233" spans="1:14">
      <c r="A233" s="15" t="s">
        <v>404</v>
      </c>
      <c r="B233" s="15" t="s">
        <v>651</v>
      </c>
      <c r="C233">
        <v>4</v>
      </c>
      <c r="D233" s="15"/>
      <c r="E233" t="s">
        <v>654</v>
      </c>
      <c r="F233" t="s">
        <v>728</v>
      </c>
      <c r="G233" s="15"/>
      <c r="H233" t="s">
        <v>653</v>
      </c>
      <c r="J233" s="15" t="s">
        <v>732</v>
      </c>
      <c r="L233" t="s">
        <v>682</v>
      </c>
      <c r="M233" s="15" t="s">
        <v>948</v>
      </c>
      <c r="N233">
        <v>2</v>
      </c>
    </row>
    <row r="234" spans="1:14">
      <c r="A234" s="15" t="s">
        <v>6</v>
      </c>
      <c r="B234" s="15" t="s">
        <v>651</v>
      </c>
      <c r="C234" s="15">
        <v>4</v>
      </c>
      <c r="D234" s="15"/>
      <c r="E234" s="15" t="s">
        <v>654</v>
      </c>
      <c r="F234" s="15" t="s">
        <v>482</v>
      </c>
      <c r="G234" s="15" t="s">
        <v>652</v>
      </c>
      <c r="H234" s="15"/>
      <c r="I234" s="15"/>
      <c r="J234" s="15" t="s">
        <v>655</v>
      </c>
      <c r="K234" s="15"/>
      <c r="L234" s="15"/>
      <c r="M234" s="15" t="s">
        <v>948</v>
      </c>
      <c r="N234">
        <v>2</v>
      </c>
    </row>
    <row r="235" spans="1:14">
      <c r="A235" s="15" t="s">
        <v>941</v>
      </c>
      <c r="B235" s="15" t="s">
        <v>651</v>
      </c>
      <c r="C235">
        <v>4</v>
      </c>
      <c r="D235" s="15"/>
      <c r="E235" s="15" t="s">
        <v>654</v>
      </c>
      <c r="F235" t="s">
        <v>482</v>
      </c>
      <c r="G235" t="s">
        <v>942</v>
      </c>
      <c r="H235" t="s">
        <v>653</v>
      </c>
      <c r="M235" s="15" t="s">
        <v>879</v>
      </c>
      <c r="N235">
        <v>2</v>
      </c>
    </row>
    <row r="236" spans="1:14">
      <c r="A236" s="15" t="s">
        <v>287</v>
      </c>
      <c r="B236" s="15" t="s">
        <v>651</v>
      </c>
      <c r="C236">
        <v>4</v>
      </c>
      <c r="D236" t="s">
        <v>698</v>
      </c>
      <c r="E236" s="15"/>
      <c r="K236" t="s">
        <v>477</v>
      </c>
      <c r="M236" s="15" t="s">
        <v>477</v>
      </c>
      <c r="N236">
        <v>3</v>
      </c>
    </row>
    <row r="237" spans="1:14">
      <c r="A237" s="15" t="s">
        <v>11</v>
      </c>
      <c r="B237" s="15" t="s">
        <v>651</v>
      </c>
      <c r="C237" s="15">
        <v>5</v>
      </c>
      <c r="D237" s="15" t="s">
        <v>698</v>
      </c>
      <c r="E237" s="15" t="s">
        <v>699</v>
      </c>
      <c r="F237" s="15"/>
      <c r="G237" s="15"/>
      <c r="H237" s="15"/>
      <c r="I237" s="15"/>
      <c r="J237" s="15"/>
      <c r="K237" s="15"/>
      <c r="L237" s="15"/>
      <c r="M237" s="15" t="s">
        <v>894</v>
      </c>
      <c r="N237" s="15">
        <v>2</v>
      </c>
    </row>
    <row r="238" spans="1:14">
      <c r="A238" s="15" t="s">
        <v>99</v>
      </c>
      <c r="B238" s="15" t="s">
        <v>651</v>
      </c>
      <c r="C238">
        <v>5</v>
      </c>
      <c r="E238" s="15" t="s">
        <v>654</v>
      </c>
      <c r="F238" s="15" t="s">
        <v>784</v>
      </c>
      <c r="G238" t="s">
        <v>736</v>
      </c>
      <c r="H238" t="s">
        <v>653</v>
      </c>
      <c r="I238" s="15"/>
      <c r="K238" s="15"/>
      <c r="M238" s="15" t="s">
        <v>904</v>
      </c>
      <c r="N238">
        <v>4</v>
      </c>
    </row>
    <row r="239" spans="1:14">
      <c r="A239" s="15" t="s">
        <v>16</v>
      </c>
      <c r="B239" s="15" t="s">
        <v>651</v>
      </c>
      <c r="C239">
        <v>5</v>
      </c>
      <c r="E239" s="15" t="s">
        <v>654</v>
      </c>
      <c r="F239" s="15" t="s">
        <v>816</v>
      </c>
      <c r="H239" t="s">
        <v>653</v>
      </c>
      <c r="I239" t="s">
        <v>678</v>
      </c>
      <c r="J239" t="s">
        <v>668</v>
      </c>
      <c r="K239" s="15"/>
      <c r="M239" s="15" t="s">
        <v>886</v>
      </c>
      <c r="N239">
        <v>3</v>
      </c>
    </row>
    <row r="240" spans="1:14">
      <c r="A240" s="15" t="s">
        <v>14</v>
      </c>
      <c r="B240" s="15" t="s">
        <v>651</v>
      </c>
      <c r="C240">
        <v>5</v>
      </c>
      <c r="E240" s="15" t="s">
        <v>654</v>
      </c>
      <c r="F240" s="15" t="s">
        <v>816</v>
      </c>
      <c r="H240" t="s">
        <v>653</v>
      </c>
      <c r="I240" t="s">
        <v>678</v>
      </c>
      <c r="J240" t="s">
        <v>681</v>
      </c>
      <c r="K240" s="15"/>
      <c r="L240" s="15"/>
      <c r="M240" s="15" t="s">
        <v>886</v>
      </c>
      <c r="N240">
        <v>3</v>
      </c>
    </row>
    <row r="241" spans="1:14">
      <c r="A241" s="15" t="s">
        <v>354</v>
      </c>
      <c r="B241" s="15" t="s">
        <v>651</v>
      </c>
      <c r="C241" s="15">
        <v>5</v>
      </c>
      <c r="D241" s="15"/>
      <c r="E241" s="15" t="s">
        <v>654</v>
      </c>
      <c r="F241" s="15" t="s">
        <v>817</v>
      </c>
      <c r="G241" s="15"/>
      <c r="H241" s="15" t="s">
        <v>653</v>
      </c>
      <c r="I241" s="15" t="s">
        <v>678</v>
      </c>
      <c r="J241" s="15"/>
      <c r="K241" s="15"/>
      <c r="L241" s="15"/>
      <c r="M241" s="15" t="s">
        <v>886</v>
      </c>
      <c r="N241" s="15">
        <v>3</v>
      </c>
    </row>
    <row r="242" spans="1:14">
      <c r="A242" s="15" t="s">
        <v>387</v>
      </c>
      <c r="B242" s="15" t="s">
        <v>651</v>
      </c>
      <c r="C242" s="15">
        <v>5</v>
      </c>
      <c r="D242" s="15"/>
      <c r="E242" s="15" t="s">
        <v>697</v>
      </c>
      <c r="F242" s="15"/>
      <c r="G242" s="15"/>
      <c r="H242" s="15"/>
      <c r="I242" s="15"/>
      <c r="J242" s="15" t="s">
        <v>687</v>
      </c>
      <c r="K242" s="15"/>
      <c r="L242" s="15"/>
      <c r="M242" s="15" t="s">
        <v>894</v>
      </c>
      <c r="N242" s="15">
        <v>2</v>
      </c>
    </row>
    <row r="243" spans="1:14">
      <c r="A243" s="15" t="s">
        <v>231</v>
      </c>
      <c r="B243" s="15" t="s">
        <v>651</v>
      </c>
      <c r="C243" s="15">
        <v>6</v>
      </c>
      <c r="D243" s="15"/>
      <c r="E243" s="15" t="s">
        <v>659</v>
      </c>
      <c r="F243" s="15"/>
      <c r="G243" s="15"/>
      <c r="H243" s="15"/>
      <c r="I243" s="15"/>
      <c r="J243" s="15"/>
      <c r="K243" s="15"/>
      <c r="L243" s="15"/>
      <c r="M243" s="15" t="s">
        <v>904</v>
      </c>
      <c r="N243" s="15">
        <v>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B2:N41"/>
  <sheetViews>
    <sheetView tabSelected="1" zoomScale="80" zoomScaleNormal="80" workbookViewId="0">
      <selection activeCell="B10" sqref="B10"/>
    </sheetView>
  </sheetViews>
  <sheetFormatPr defaultRowHeight="15"/>
  <cols>
    <col min="1" max="1" width="2.42578125" customWidth="1"/>
    <col min="2" max="2" width="24.140625" bestFit="1" customWidth="1"/>
    <col min="3" max="3" width="25.7109375" bestFit="1" customWidth="1"/>
    <col min="4" max="4" width="20.28515625" bestFit="1" customWidth="1"/>
    <col min="5" max="5" width="25.5703125" bestFit="1" customWidth="1"/>
    <col min="6" max="6" width="24.5703125" bestFit="1" customWidth="1"/>
    <col min="7" max="7" width="17.85546875" bestFit="1" customWidth="1"/>
    <col min="8" max="8" width="2.7109375" bestFit="1" customWidth="1"/>
    <col min="9" max="9" width="24.140625" bestFit="1" customWidth="1"/>
    <col min="10" max="10" width="27.7109375" bestFit="1" customWidth="1"/>
    <col min="11" max="11" width="26.85546875" bestFit="1" customWidth="1"/>
    <col min="12" max="12" width="21.85546875" bestFit="1" customWidth="1"/>
    <col min="13" max="13" width="18.28515625" bestFit="1" customWidth="1"/>
    <col min="14" max="14" width="18.42578125" bestFit="1" customWidth="1"/>
  </cols>
  <sheetData>
    <row r="2" spans="2:14">
      <c r="B2" s="2" t="s">
        <v>928</v>
      </c>
      <c r="C2" s="5" t="s">
        <v>107</v>
      </c>
      <c r="D2" s="17" t="s">
        <v>408</v>
      </c>
      <c r="E2" s="5" t="s">
        <v>433</v>
      </c>
      <c r="F2" s="5" t="s">
        <v>259</v>
      </c>
      <c r="G2" s="5" t="s">
        <v>442</v>
      </c>
      <c r="H2" s="5"/>
    </row>
    <row r="3" spans="2:14">
      <c r="C3" s="4" t="s">
        <v>276</v>
      </c>
      <c r="D3" s="5" t="s">
        <v>367</v>
      </c>
      <c r="E3" s="17" t="s">
        <v>560</v>
      </c>
      <c r="F3" s="5" t="s">
        <v>60</v>
      </c>
      <c r="H3" s="5"/>
    </row>
    <row r="4" spans="2:14">
      <c r="B4" s="2"/>
      <c r="C4" s="5" t="s">
        <v>23</v>
      </c>
      <c r="D4" s="4" t="s">
        <v>270</v>
      </c>
      <c r="E4" s="5" t="s">
        <v>49</v>
      </c>
      <c r="F4" s="4" t="s">
        <v>556</v>
      </c>
      <c r="G4" s="4"/>
      <c r="H4" s="4"/>
    </row>
    <row r="5" spans="2:14">
      <c r="C5" s="5" t="s">
        <v>246</v>
      </c>
      <c r="D5" s="4" t="s">
        <v>616</v>
      </c>
      <c r="E5" s="18" t="s">
        <v>930</v>
      </c>
      <c r="F5" s="4" t="s">
        <v>561</v>
      </c>
    </row>
    <row r="6" spans="2:14">
      <c r="C6" s="4" t="s">
        <v>402</v>
      </c>
      <c r="D6" s="4" t="s">
        <v>271</v>
      </c>
      <c r="E6" s="4" t="s">
        <v>434</v>
      </c>
      <c r="F6" s="18" t="s">
        <v>615</v>
      </c>
    </row>
    <row r="7" spans="2:14">
      <c r="B7" s="18"/>
      <c r="C7" s="17" t="s">
        <v>604</v>
      </c>
      <c r="D7" s="4" t="s">
        <v>557</v>
      </c>
      <c r="E7" s="5" t="s">
        <v>53</v>
      </c>
      <c r="F7" s="5" t="s">
        <v>580</v>
      </c>
    </row>
    <row r="8" spans="2:14">
      <c r="C8" s="5" t="s">
        <v>307</v>
      </c>
      <c r="D8" s="17" t="s">
        <v>586</v>
      </c>
      <c r="E8" s="4"/>
    </row>
    <row r="9" spans="2:14">
      <c r="D9" s="17" t="s">
        <v>268</v>
      </c>
      <c r="E9" s="4"/>
      <c r="F9" s="5"/>
      <c r="G9" s="4"/>
      <c r="H9" s="4"/>
    </row>
    <row r="10" spans="2:14">
      <c r="G10" s="4"/>
      <c r="H10" s="4"/>
    </row>
    <row r="14" spans="2:14">
      <c r="J14" s="4"/>
      <c r="K14" s="4"/>
      <c r="M14" s="4"/>
      <c r="N14" s="4"/>
    </row>
    <row r="16" spans="2:14">
      <c r="D16" s="17"/>
    </row>
    <row r="20" spans="2:8">
      <c r="B20" s="5" t="s">
        <v>70</v>
      </c>
      <c r="C20" s="5" t="s">
        <v>197</v>
      </c>
      <c r="D20" s="5" t="s">
        <v>392</v>
      </c>
      <c r="E20" s="5" t="s">
        <v>466</v>
      </c>
    </row>
    <row r="21" spans="2:8">
      <c r="B21" s="5"/>
      <c r="C21" s="5" t="s">
        <v>76</v>
      </c>
      <c r="D21" s="5"/>
      <c r="E21" s="5"/>
    </row>
    <row r="22" spans="2:8">
      <c r="B22" s="5" t="s">
        <v>545</v>
      </c>
      <c r="C22" s="5" t="s">
        <v>546</v>
      </c>
      <c r="D22" s="5" t="s">
        <v>547</v>
      </c>
      <c r="E22" s="5" t="s">
        <v>548</v>
      </c>
      <c r="F22" s="5" t="s">
        <v>549</v>
      </c>
    </row>
    <row r="23" spans="2:8">
      <c r="C23" s="5"/>
      <c r="F23" s="5" t="s">
        <v>467</v>
      </c>
    </row>
    <row r="24" spans="2:8">
      <c r="B24" s="5" t="s">
        <v>539</v>
      </c>
      <c r="C24" s="5" t="s">
        <v>183</v>
      </c>
      <c r="D24" s="5" t="s">
        <v>328</v>
      </c>
      <c r="E24" s="5" t="s">
        <v>564</v>
      </c>
      <c r="G24" s="2"/>
      <c r="H24" s="2"/>
    </row>
    <row r="25" spans="2:8">
      <c r="G25" s="2"/>
      <c r="H25" s="2"/>
    </row>
    <row r="33" spans="2:6">
      <c r="D33" s="5"/>
      <c r="E33" s="4"/>
    </row>
    <row r="35" spans="2:6">
      <c r="E35" s="5"/>
    </row>
    <row r="36" spans="2:6">
      <c r="E36" s="5"/>
    </row>
    <row r="37" spans="2:6">
      <c r="E37" s="2"/>
      <c r="F37" s="2"/>
    </row>
    <row r="41" spans="2:6">
      <c r="B41" s="2"/>
      <c r="D41" s="2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B2:H35"/>
  <sheetViews>
    <sheetView zoomScale="80" zoomScaleNormal="80" workbookViewId="0">
      <selection activeCell="D5" sqref="D5"/>
    </sheetView>
  </sheetViews>
  <sheetFormatPr defaultRowHeight="15"/>
  <cols>
    <col min="1" max="1" width="2.28515625" bestFit="1" customWidth="1"/>
    <col min="2" max="2" width="25.85546875" bestFit="1" customWidth="1"/>
    <col min="3" max="3" width="23.85546875" bestFit="1" customWidth="1"/>
    <col min="4" max="4" width="22.85546875" bestFit="1" customWidth="1"/>
    <col min="5" max="5" width="21.5703125" bestFit="1" customWidth="1"/>
    <col min="6" max="6" width="24.42578125" bestFit="1" customWidth="1"/>
    <col min="7" max="7" width="19.28515625" bestFit="1" customWidth="1"/>
    <col min="8" max="8" width="17.85546875" bestFit="1" customWidth="1"/>
  </cols>
  <sheetData>
    <row r="2" spans="2:8">
      <c r="B2" s="17" t="s">
        <v>364</v>
      </c>
      <c r="C2" s="17" t="s">
        <v>444</v>
      </c>
      <c r="D2" s="17" t="s">
        <v>274</v>
      </c>
      <c r="E2" s="17" t="s">
        <v>587</v>
      </c>
      <c r="F2" s="18" t="s">
        <v>256</v>
      </c>
      <c r="G2" s="18"/>
      <c r="H2" s="16" t="s">
        <v>452</v>
      </c>
    </row>
    <row r="3" spans="2:8">
      <c r="B3" s="18" t="s">
        <v>100</v>
      </c>
      <c r="C3" s="17" t="s">
        <v>570</v>
      </c>
      <c r="D3" s="17" t="s">
        <v>229</v>
      </c>
      <c r="E3" s="17" t="s">
        <v>207</v>
      </c>
      <c r="F3" s="18" t="s">
        <v>448</v>
      </c>
      <c r="G3" s="17"/>
      <c r="H3" s="2" t="s">
        <v>522</v>
      </c>
    </row>
    <row r="4" spans="2:8">
      <c r="B4" s="17" t="s">
        <v>203</v>
      </c>
      <c r="C4" s="17" t="s">
        <v>574</v>
      </c>
      <c r="D4" s="18" t="s">
        <v>269</v>
      </c>
      <c r="E4" s="17" t="s">
        <v>202</v>
      </c>
      <c r="F4" s="18" t="s">
        <v>194</v>
      </c>
      <c r="G4" s="17"/>
      <c r="H4" s="16" t="s">
        <v>523</v>
      </c>
    </row>
    <row r="5" spans="2:8">
      <c r="B5" s="17" t="s">
        <v>316</v>
      </c>
      <c r="C5" s="18" t="s">
        <v>30</v>
      </c>
      <c r="D5" s="17" t="s">
        <v>238</v>
      </c>
      <c r="E5" s="18" t="s">
        <v>464</v>
      </c>
      <c r="F5" s="17" t="s">
        <v>642</v>
      </c>
      <c r="G5" s="2"/>
      <c r="H5" s="16" t="s">
        <v>524</v>
      </c>
    </row>
    <row r="6" spans="2:8">
      <c r="B6" s="17" t="s">
        <v>280</v>
      </c>
      <c r="C6" s="18" t="s">
        <v>573</v>
      </c>
      <c r="D6" s="17" t="s">
        <v>420</v>
      </c>
      <c r="E6" s="18" t="s">
        <v>637</v>
      </c>
      <c r="F6" s="2" t="s">
        <v>412</v>
      </c>
      <c r="G6" s="2"/>
      <c r="H6" s="12" t="s">
        <v>369</v>
      </c>
    </row>
    <row r="7" spans="2:8">
      <c r="B7" s="18" t="s">
        <v>98</v>
      </c>
      <c r="C7" s="18" t="s">
        <v>512</v>
      </c>
      <c r="D7" s="17" t="s">
        <v>242</v>
      </c>
      <c r="E7" s="17" t="s">
        <v>480</v>
      </c>
      <c r="F7" s="17"/>
      <c r="G7" s="2"/>
      <c r="H7" s="2"/>
    </row>
    <row r="8" spans="2:8">
      <c r="B8" s="18" t="s">
        <v>17</v>
      </c>
      <c r="C8" s="18" t="s">
        <v>409</v>
      </c>
      <c r="D8" s="2" t="s">
        <v>454</v>
      </c>
      <c r="E8" s="18" t="s">
        <v>576</v>
      </c>
      <c r="G8" s="2"/>
      <c r="H8" s="2"/>
    </row>
    <row r="9" spans="2:8">
      <c r="B9" s="17" t="s">
        <v>585</v>
      </c>
      <c r="F9" s="17"/>
      <c r="G9" s="2"/>
      <c r="H9" s="2"/>
    </row>
    <row r="10" spans="2:8">
      <c r="C10" s="18"/>
      <c r="E10" s="18"/>
      <c r="G10" s="2"/>
      <c r="H10" s="2"/>
    </row>
    <row r="11" spans="2:8">
      <c r="C11" s="18"/>
      <c r="D11" s="2"/>
      <c r="F11" s="2"/>
      <c r="G11" s="17"/>
      <c r="H11" s="2"/>
    </row>
    <row r="12" spans="2:8">
      <c r="C12" s="18"/>
      <c r="D12" s="2"/>
      <c r="G12" s="17"/>
      <c r="H12" s="2"/>
    </row>
    <row r="13" spans="2:8">
      <c r="B13" s="17"/>
      <c r="C13" s="18"/>
      <c r="D13" s="2"/>
      <c r="E13" s="2"/>
      <c r="F13" s="2"/>
      <c r="G13" s="17"/>
      <c r="H13" s="2"/>
    </row>
    <row r="14" spans="2:8">
      <c r="B14" s="2"/>
      <c r="C14" s="2"/>
      <c r="D14" s="2"/>
      <c r="E14" s="2"/>
      <c r="G14" s="2"/>
      <c r="H14" s="2"/>
    </row>
    <row r="15" spans="2:8">
      <c r="D15" s="15"/>
      <c r="F15" s="2"/>
    </row>
    <row r="16" spans="2:8">
      <c r="D16" s="5"/>
      <c r="E16" s="5"/>
    </row>
    <row r="19" spans="2:7">
      <c r="B19" s="5" t="s">
        <v>422</v>
      </c>
      <c r="C19" s="5" t="s">
        <v>123</v>
      </c>
      <c r="D19" s="5"/>
      <c r="E19" s="5" t="s">
        <v>161</v>
      </c>
    </row>
    <row r="20" spans="2:7">
      <c r="E20" s="5"/>
    </row>
    <row r="21" spans="2:7">
      <c r="B21" s="5"/>
      <c r="E21" s="5"/>
      <c r="F21" s="5"/>
    </row>
    <row r="22" spans="2:7">
      <c r="B22" s="1" t="s">
        <v>643</v>
      </c>
      <c r="D22" s="5" t="s">
        <v>88</v>
      </c>
      <c r="E22" s="5" t="s">
        <v>172</v>
      </c>
      <c r="F22" s="1" t="s">
        <v>101</v>
      </c>
    </row>
    <row r="24" spans="2:7">
      <c r="G24" s="5"/>
    </row>
    <row r="25" spans="2:7">
      <c r="G25" s="4"/>
    </row>
    <row r="26" spans="2:7">
      <c r="G26" s="4"/>
    </row>
    <row r="27" spans="2:7">
      <c r="G27" s="5"/>
    </row>
    <row r="28" spans="2:7">
      <c r="G28" s="5"/>
    </row>
    <row r="32" spans="2:7">
      <c r="E32" s="5"/>
      <c r="F32" s="5"/>
    </row>
    <row r="35" spans="6:6">
      <c r="F35" s="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A25"/>
  <sheetViews>
    <sheetView zoomScale="90" zoomScaleNormal="90" workbookViewId="0">
      <selection activeCell="G26" sqref="G26"/>
    </sheetView>
  </sheetViews>
  <sheetFormatPr defaultRowHeight="15"/>
  <cols>
    <col min="1" max="1" width="22" bestFit="1" customWidth="1"/>
    <col min="2" max="7" width="3.28515625" bestFit="1" customWidth="1"/>
    <col min="8" max="9" width="2.140625" bestFit="1" customWidth="1"/>
    <col min="10" max="10" width="22" bestFit="1" customWidth="1"/>
    <col min="11" max="11" width="2.140625" bestFit="1" customWidth="1"/>
    <col min="12" max="16" width="3.28515625" bestFit="1" customWidth="1"/>
    <col min="17" max="18" width="2.140625" bestFit="1" customWidth="1"/>
    <col min="19" max="19" width="22" bestFit="1" customWidth="1"/>
    <col min="20" max="25" width="3.28515625" bestFit="1" customWidth="1"/>
    <col min="26" max="27" width="2.140625" bestFit="1" customWidth="1"/>
  </cols>
  <sheetData>
    <row r="1" spans="1:26">
      <c r="A1" s="20"/>
      <c r="B1" s="20"/>
    </row>
    <row r="2" spans="1:26">
      <c r="A2" s="21" t="s">
        <v>867</v>
      </c>
      <c r="B2" s="20"/>
      <c r="J2" s="21" t="s">
        <v>868</v>
      </c>
      <c r="R2" s="20"/>
      <c r="S2" s="21" t="s">
        <v>869</v>
      </c>
    </row>
    <row r="3" spans="1:26">
      <c r="A3" s="15" t="s">
        <v>851</v>
      </c>
      <c r="B3">
        <f>COUNTIFS('Commons Table'!B:B, "White", 'Commons Table'!E:E, "Creature", 'Commons Table'!C:C, "1")</f>
        <v>7</v>
      </c>
      <c r="C3" s="15">
        <f>COUNTIFS('Commons Table'!B:B, "White", 'Commons Table'!E:E, "Creature", 'Commons Table'!C:C, "2")</f>
        <v>13</v>
      </c>
      <c r="D3" s="15">
        <f>COUNTIFS('Commons Table'!B:B, "White", 'Commons Table'!E:E, "Creature", 'Commons Table'!C:C, "3")</f>
        <v>9</v>
      </c>
      <c r="E3" s="15">
        <f>COUNTIFS('Commons Table'!B:B, "White", 'Commons Table'!E:E, "Creature", 'Commons Table'!C:C, "4")</f>
        <v>4</v>
      </c>
      <c r="F3" s="15">
        <f>COUNTIFS('Commons Table'!B:B, "White", 'Commons Table'!E:E, "Creature", 'Commons Table'!C:C, "5")</f>
        <v>2</v>
      </c>
      <c r="G3" s="15">
        <f>COUNTIFS('Commons Table'!B:B, "White", 'Commons Table'!E:E, "Creature", 'Commons Table'!C:C, "6")</f>
        <v>0</v>
      </c>
      <c r="H3" s="15"/>
      <c r="J3" s="22" t="s">
        <v>851</v>
      </c>
      <c r="K3" s="15">
        <f>COUNTIFS('Uncommons Table'!$B:$B, "White", 'Uncommons Table'!$E:$E, "Creature", 'Uncommons Table'!$C:$C, "1")</f>
        <v>3</v>
      </c>
      <c r="L3" s="15">
        <f>COUNTIFS('Uncommons Table'!$B:$B, "White", 'Uncommons Table'!$E:$E, "Creature", 'Uncommons Table'!$C:$C, "2")</f>
        <v>4</v>
      </c>
      <c r="M3" s="15">
        <f>COUNTIFS('Uncommons Table'!$B:$B, "White", 'Uncommons Table'!$E:$E, "Creature", 'Uncommons Table'!$C:$C, "3")</f>
        <v>6</v>
      </c>
      <c r="N3" s="15">
        <f>COUNTIFS('Uncommons Table'!$B:$B, "White", 'Uncommons Table'!$E:$E, "Creature", 'Uncommons Table'!$C:$C, "4")</f>
        <v>5</v>
      </c>
      <c r="O3" s="15">
        <f>COUNTIFS('Uncommons Table'!$B:$B, "White", 'Uncommons Table'!$E:$E, "Creature", 'Uncommons Table'!$C:$C, "5")</f>
        <v>4</v>
      </c>
      <c r="P3" s="15">
        <f>COUNTIFS('Uncommons Table'!$B:$B, "White", 'Uncommons Table'!$E:$E, "Creature", 'Uncommons Table'!$C:$C, "6")</f>
        <v>0</v>
      </c>
      <c r="Q3" s="15"/>
      <c r="R3" s="15"/>
      <c r="S3" s="22" t="s">
        <v>851</v>
      </c>
      <c r="T3">
        <f t="shared" ref="T3:Z3" si="0">SUM(B3,K3)</f>
        <v>10</v>
      </c>
      <c r="U3" s="15">
        <f t="shared" si="0"/>
        <v>17</v>
      </c>
      <c r="V3" s="15">
        <f t="shared" si="0"/>
        <v>15</v>
      </c>
      <c r="W3" s="15">
        <f t="shared" si="0"/>
        <v>9</v>
      </c>
      <c r="X3" s="15">
        <f t="shared" si="0"/>
        <v>6</v>
      </c>
      <c r="Y3" s="15">
        <f t="shared" si="0"/>
        <v>0</v>
      </c>
      <c r="Z3" s="15">
        <f t="shared" si="0"/>
        <v>0</v>
      </c>
    </row>
    <row r="4" spans="1:26" s="24" customFormat="1">
      <c r="A4" s="24" t="s">
        <v>852</v>
      </c>
      <c r="B4" s="24">
        <f>COUNTIFS('Commons Table'!B:B,"White",'Commons Table'!C:C,"1")-COUNTIFS('Commons Table'!B:B,"White",'Commons Table'!E:E,"Creature",'Commons Table'!C:C,"1")</f>
        <v>3</v>
      </c>
      <c r="C4" s="24">
        <f>COUNTIFS('Commons Table'!B:B,"White",'Commons Table'!C:C,"2")-COUNTIFS('Commons Table'!B:B,"White",'Commons Table'!E:E,"Creature",'Commons Table'!C:C,"2")</f>
        <v>7</v>
      </c>
      <c r="D4" s="24">
        <f>COUNTIFS('Commons Table'!B:B,"White",'Commons Table'!C:C,"3")-COUNTIFS('Commons Table'!B:B,"White",'Commons Table'!E:E,"Creature",'Commons Table'!C:C,"3")</f>
        <v>6</v>
      </c>
      <c r="E4" s="24">
        <f>COUNTIFS('Commons Table'!B:B,"White",'Commons Table'!C:C,"4")-COUNTIFS('Commons Table'!B:B,"White",'Commons Table'!E:E,"Creature",'Commons Table'!C:C,"4")</f>
        <v>1</v>
      </c>
      <c r="F4" s="24">
        <f>COUNTIFS('Commons Table'!B:B,"White",'Commons Table'!C:C,"5")-COUNTIFS('Commons Table'!B:B,"White",'Commons Table'!E:E,"Creature",'Commons Table'!C:C,"5")</f>
        <v>0</v>
      </c>
      <c r="G4" s="24">
        <f>COUNTIFS('Commons Table'!B:B,"White",'Commons Table'!C:C,"6")-COUNTIFS('Commons Table'!B:B,"White",'Commons Table'!E:E,"Creature",'Commons Table'!C:C,"6")</f>
        <v>0</v>
      </c>
      <c r="J4" s="25" t="s">
        <v>852</v>
      </c>
      <c r="K4" s="24">
        <f>COUNTIFS('Uncommons Table'!$B:$B,"White",'Uncommons Table'!$C:$C,"1")-COUNTIFS('Uncommons Table'!$B:$B,"White",'Uncommons Table'!$E:$E,"Creature",'Uncommons Table'!$C:$C,"1")</f>
        <v>2</v>
      </c>
      <c r="L4" s="24">
        <f>COUNTIFS('Uncommons Table'!$B:$B,"White",'Uncommons Table'!$C:$C,"2")-COUNTIFS('Uncommons Table'!$B:$B,"White",'Uncommons Table'!$E:$E,"Creature",'Uncommons Table'!$C:$C,"2")</f>
        <v>0</v>
      </c>
      <c r="M4" s="24">
        <f>COUNTIFS('Uncommons Table'!$B:$B,"White",'Uncommons Table'!$C:$C,"3")-COUNTIFS('Uncommons Table'!$B:$B,"White",'Uncommons Table'!$E:$E,"Creature",'Uncommons Table'!$C:$C,"3")</f>
        <v>3</v>
      </c>
      <c r="N4" s="24">
        <f>COUNTIFS('Uncommons Table'!$B:$B,"White",'Uncommons Table'!$C:$C,"4")-COUNTIFS('Uncommons Table'!$B:$B,"White",'Uncommons Table'!$E:$E,"Creature",'Uncommons Table'!$C:$C,"4")</f>
        <v>1</v>
      </c>
      <c r="O4" s="24">
        <f>COUNTIFS('Uncommons Table'!$B:$B,"White",'Uncommons Table'!$C:$C,"5")-COUNTIFS('Uncommons Table'!$B:$B,"White",'Uncommons Table'!$E:$E,"Creature",'Uncommons Table'!$C:$C,"5")</f>
        <v>2</v>
      </c>
      <c r="P4" s="24">
        <f>COUNTIFS('Uncommons Table'!$B:$B,"White",'Uncommons Table'!$C:$C,"6")-COUNTIFS('Uncommons Table'!$B:$B,"White",'Uncommons Table'!$E:$E,"Creature",'Uncommons Table'!$C:$C,"6")</f>
        <v>1</v>
      </c>
      <c r="S4" s="25" t="s">
        <v>852</v>
      </c>
      <c r="T4" s="24">
        <f>SUM(B4,K4)</f>
        <v>5</v>
      </c>
      <c r="U4" s="24">
        <f t="shared" ref="U4:Z4" si="1">SUM(C4,L4)</f>
        <v>7</v>
      </c>
      <c r="V4" s="24">
        <f t="shared" si="1"/>
        <v>9</v>
      </c>
      <c r="W4" s="24">
        <f t="shared" si="1"/>
        <v>2</v>
      </c>
      <c r="X4" s="24">
        <f t="shared" si="1"/>
        <v>2</v>
      </c>
      <c r="Y4" s="24">
        <f t="shared" si="1"/>
        <v>1</v>
      </c>
      <c r="Z4" s="24">
        <f t="shared" si="1"/>
        <v>0</v>
      </c>
    </row>
    <row r="5" spans="1:26"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6">
      <c r="A6" s="15" t="s">
        <v>853</v>
      </c>
      <c r="B6">
        <f>COUNTIFS('Commons Table'!B:B, "Blue", 'Commons Table'!E:E, "Creature", 'Commons Table'!C:C, "1")</f>
        <v>3</v>
      </c>
      <c r="C6">
        <f>COUNTIFS('Commons Table'!B:B, "Blue", 'Commons Table'!E:E, "Creature", 'Commons Table'!C:C, "2")</f>
        <v>6</v>
      </c>
      <c r="D6">
        <f>COUNTIFS('Commons Table'!B:B, "Blue", 'Commons Table'!E:E, "Creature", 'Commons Table'!C:C, "3")</f>
        <v>9</v>
      </c>
      <c r="E6">
        <f>COUNTIFS('Commons Table'!B:B, "Blue", 'Commons Table'!E:E, "Creature", 'Commons Table'!C:C, "4")</f>
        <v>7</v>
      </c>
      <c r="F6">
        <f>COUNTIFS('Commons Table'!B:B, "Blue", 'Commons Table'!E:E, "Creature", 'Commons Table'!C:C, "5")</f>
        <v>5</v>
      </c>
      <c r="G6">
        <f>COUNTIFS('Commons Table'!B:B, "Blue", 'Commons Table'!E:E, "Creature", 'Commons Table'!C:C, "6")</f>
        <v>0</v>
      </c>
      <c r="H6">
        <f>COUNTIFS('Commons Table'!B:B, "Blue", 'Commons Table'!E:E, "Creature", 'Commons Table'!C:C, "7")</f>
        <v>1</v>
      </c>
      <c r="J6" s="15" t="s">
        <v>853</v>
      </c>
      <c r="K6" s="15">
        <f>COUNTIFS('Uncommons Table'!$B:$B, "Blue", 'Uncommons Table'!$E:$E, "Creature", 'Uncommons Table'!$C:$C, "1")</f>
        <v>0</v>
      </c>
      <c r="L6" s="15">
        <f>COUNTIFS('Uncommons Table'!$B:$B, "Blue", 'Uncommons Table'!$E:$E, "Creature", 'Uncommons Table'!$C:$C, "2")</f>
        <v>5</v>
      </c>
      <c r="M6" s="15">
        <f>COUNTIFS('Uncommons Table'!$B:$B, "Blue", 'Uncommons Table'!$E:$E, "Creature", 'Uncommons Table'!$C:$C, "3")</f>
        <v>4</v>
      </c>
      <c r="N6" s="15">
        <f>COUNTIFS('Uncommons Table'!$B:$B, "Blue", 'Uncommons Table'!$E:$E, "Creature", 'Uncommons Table'!$C:$C, "4")</f>
        <v>3</v>
      </c>
      <c r="O6" s="15">
        <f>COUNTIFS('Uncommons Table'!$B:$B, "Blue", 'Uncommons Table'!$E:$E, "Creature", 'Uncommons Table'!$C:$C, "5")</f>
        <v>4</v>
      </c>
      <c r="P6" s="15">
        <f>COUNTIFS('Uncommons Table'!$B:$B, "Blue", 'Uncommons Table'!$E:$E, "Creature", 'Uncommons Table'!$C:$C, "6")</f>
        <v>2</v>
      </c>
      <c r="Q6" s="15"/>
      <c r="R6" s="15"/>
      <c r="S6" s="15" t="s">
        <v>853</v>
      </c>
      <c r="T6" s="15">
        <f t="shared" ref="T6:Z6" si="2">SUM(B6,K6)</f>
        <v>3</v>
      </c>
      <c r="U6" s="15">
        <f t="shared" si="2"/>
        <v>11</v>
      </c>
      <c r="V6" s="15">
        <f t="shared" si="2"/>
        <v>13</v>
      </c>
      <c r="W6" s="15">
        <f t="shared" si="2"/>
        <v>10</v>
      </c>
      <c r="X6" s="15">
        <f t="shared" si="2"/>
        <v>9</v>
      </c>
      <c r="Y6" s="15">
        <f t="shared" si="2"/>
        <v>2</v>
      </c>
      <c r="Z6" s="15">
        <f t="shared" si="2"/>
        <v>1</v>
      </c>
    </row>
    <row r="7" spans="1:26" s="24" customFormat="1">
      <c r="A7" s="24" t="s">
        <v>854</v>
      </c>
      <c r="B7" s="24">
        <f>COUNTIFS('Commons Table'!B:B,"Blue",'Commons Table'!C:C,"1")-COUNTIFS('Commons Table'!B:B,"Blue",'Commons Table'!E:E,"Creature",'Commons Table'!C:C,"1")</f>
        <v>6</v>
      </c>
      <c r="C7" s="24">
        <f>COUNTIFS('Commons Table'!B:B,"Blue",'Commons Table'!C:C,"2")-COUNTIFS('Commons Table'!B:B,"Blue",'Commons Table'!E:E,"Creature",'Commons Table'!C:C,"2")</f>
        <v>6</v>
      </c>
      <c r="D7" s="24">
        <f>COUNTIFS('Commons Table'!B:B,"Blue",'Commons Table'!C:C,"3")-COUNTIFS('Commons Table'!B:B,"Blue",'Commons Table'!E:E,"Creature",'Commons Table'!C:C,"3")</f>
        <v>6</v>
      </c>
      <c r="E7" s="24">
        <f>COUNTIFS('Commons Table'!B:B,"Blue",'Commons Table'!C:C,"4")-COUNTIFS('Commons Table'!B:B,"Blue",'Commons Table'!E:E,"Creature",'Commons Table'!C:C,"4")</f>
        <v>3</v>
      </c>
      <c r="F7" s="24">
        <f>COUNTIFS('Commons Table'!B:B,"Blue",'Commons Table'!C:C,"5")-COUNTIFS('Commons Table'!B:B,"Blue",'Commons Table'!E:E,"Creature",'Commons Table'!C:C,"5")</f>
        <v>0</v>
      </c>
      <c r="G7" s="24">
        <f>COUNTIFS('Commons Table'!B:B,"Blue",'Commons Table'!C:C,"6")-COUNTIFS('Commons Table'!B:B,"Blue",'Commons Table'!E:E,"Creature",'Commons Table'!C:C,"6")</f>
        <v>0</v>
      </c>
      <c r="H7" s="24">
        <f>COUNTIFS('Commons Table'!B:B,"Blue",'Commons Table'!C:C,"7")-COUNTIFS('Commons Table'!B:B,"Blue",'Commons Table'!E:E,"Creature",'Commons Table'!C:C,"7")</f>
        <v>0</v>
      </c>
      <c r="J7" s="24" t="s">
        <v>854</v>
      </c>
      <c r="K7" s="24">
        <f>COUNTIFS('Uncommons Table'!$B:$B,"Blue",'Uncommons Table'!$C:$C,"1")-COUNTIFS('Uncommons Table'!$B:$B,"Blue",'Uncommons Table'!$E:$E,"Creature",'Uncommons Table'!$C:$C,"1")</f>
        <v>0</v>
      </c>
      <c r="L7" s="24">
        <f>COUNTIFS('Uncommons Table'!$B:$B,"Blue",'Uncommons Table'!$C:$C,"2")-COUNTIFS('Uncommons Table'!$B:$B,"Blue",'Uncommons Table'!$E:$E,"Creature",'Uncommons Table'!$C:$C,"2")</f>
        <v>2</v>
      </c>
      <c r="M7" s="24">
        <f>COUNTIFS('Uncommons Table'!$B:$B,"Blue",'Uncommons Table'!$C:$C,"3")-COUNTIFS('Uncommons Table'!$B:$B,"Blue",'Uncommons Table'!$E:$E,"Creature",'Uncommons Table'!$C:$C,"3")</f>
        <v>4</v>
      </c>
      <c r="N7" s="24">
        <f>COUNTIFS('Uncommons Table'!$B:$B,"Blue",'Uncommons Table'!$C:$C,"4")-COUNTIFS('Uncommons Table'!$B:$B,"Blue",'Uncommons Table'!$E:$E,"Creature",'Uncommons Table'!$C:$C,"4")</f>
        <v>5</v>
      </c>
      <c r="O7" s="24">
        <f>COUNTIFS('Uncommons Table'!$B:$B,"Blue",'Uncommons Table'!$C:$C,"5")-COUNTIFS('Uncommons Table'!$B:$B,"Blue",'Uncommons Table'!$E:$E,"Creature",'Uncommons Table'!$C:$C,"5")</f>
        <v>1</v>
      </c>
      <c r="P7" s="24">
        <f>COUNTIFS('Uncommons Table'!$B:$B,"Blue",'Uncommons Table'!$C:$C,"6")-COUNTIFS('Uncommons Table'!$B:$B,"Blue",'Uncommons Table'!$E:$E,"Creature",'Uncommons Table'!$C:$C,"6")</f>
        <v>1</v>
      </c>
      <c r="S7" s="24" t="s">
        <v>854</v>
      </c>
      <c r="T7" s="24">
        <f t="shared" ref="T7:Z7" si="3">SUM(B7,K7)</f>
        <v>6</v>
      </c>
      <c r="U7" s="24">
        <f t="shared" si="3"/>
        <v>8</v>
      </c>
      <c r="V7" s="24">
        <f t="shared" si="3"/>
        <v>10</v>
      </c>
      <c r="W7" s="24">
        <f t="shared" si="3"/>
        <v>8</v>
      </c>
      <c r="X7" s="24">
        <f t="shared" si="3"/>
        <v>1</v>
      </c>
      <c r="Y7" s="24">
        <f t="shared" si="3"/>
        <v>1</v>
      </c>
      <c r="Z7" s="24">
        <f t="shared" si="3"/>
        <v>0</v>
      </c>
    </row>
    <row r="8" spans="1:26"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26">
      <c r="A9" s="15" t="s">
        <v>855</v>
      </c>
      <c r="B9">
        <f>COUNTIFS('Commons Table'!B:B, "Black", 'Commons Table'!E:E, "Creature", 'Commons Table'!C:C, "1")</f>
        <v>6</v>
      </c>
      <c r="C9">
        <f>COUNTIFS('Commons Table'!B:B, "Black", 'Commons Table'!E:E, "Creature", 'Commons Table'!C:C, "2")</f>
        <v>9</v>
      </c>
      <c r="D9">
        <f>COUNTIFS('Commons Table'!B:B, "Black", 'Commons Table'!E:E, "Creature", 'Commons Table'!C:C, "3")</f>
        <v>11</v>
      </c>
      <c r="E9">
        <f>COUNTIFS('Commons Table'!B:B, "Black", 'Commons Table'!E:E, "Creature", 'Commons Table'!C:C, "4")</f>
        <v>4</v>
      </c>
      <c r="F9">
        <f>COUNTIFS('Commons Table'!B:B, "Black", 'Commons Table'!E:E, "Creature", 'Commons Table'!C:C, "5")</f>
        <v>2</v>
      </c>
      <c r="G9">
        <f>COUNTIFS('Commons Table'!B:B, "Black", 'Commons Table'!E:E, "Creature", 'Commons Table'!C:C, "6")</f>
        <v>1</v>
      </c>
      <c r="H9">
        <f>COUNTIFS('Commons Table'!B:B, "Black", 'Commons Table'!E:E, "Creature", 'Commons Table'!C:C, "7")</f>
        <v>0</v>
      </c>
      <c r="J9" s="15" t="s">
        <v>855</v>
      </c>
      <c r="K9" s="15">
        <f>COUNTIFS('Uncommons Table'!$B:$B, "Black", 'Uncommons Table'!$E:$E, "Creature", 'Uncommons Table'!$C:$C, "1")</f>
        <v>1</v>
      </c>
      <c r="L9" s="15">
        <f>COUNTIFS('Uncommons Table'!$B:$B, "Black", 'Uncommons Table'!$E:$E, "Creature", 'Uncommons Table'!$C:$C, "2")</f>
        <v>2</v>
      </c>
      <c r="M9" s="15">
        <f>COUNTIFS('Uncommons Table'!$B:$B, "Black", 'Uncommons Table'!$E:$E, "Creature", 'Uncommons Table'!$C:$C, "3")</f>
        <v>5</v>
      </c>
      <c r="N9" s="15">
        <f>COUNTIFS('Uncommons Table'!$B:$B, "Black", 'Uncommons Table'!$E:$E, "Creature", 'Uncommons Table'!$C:$C, "4")</f>
        <v>5</v>
      </c>
      <c r="O9" s="15">
        <f>COUNTIFS('Uncommons Table'!$B:$B, "Black", 'Uncommons Table'!$E:$E, "Creature", 'Uncommons Table'!$C:$C, "5")</f>
        <v>2</v>
      </c>
      <c r="P9" s="15">
        <f>COUNTIFS('Uncommons Table'!$B:$B, "Black", 'Uncommons Table'!$E:$E, "Creature", 'Uncommons Table'!$C:$C, "6")</f>
        <v>1</v>
      </c>
      <c r="Q9" s="15">
        <f>COUNTIFS('Uncommons Table'!$B:$B, "Black", 'Uncommons Table'!$E:$E, "Creature", 'Uncommons Table'!$C:$C, "7")</f>
        <v>0</v>
      </c>
      <c r="R9" s="15"/>
      <c r="S9" s="15" t="s">
        <v>855</v>
      </c>
      <c r="T9" s="15">
        <f t="shared" ref="T9:Z9" si="4">SUM(B9,K9)</f>
        <v>7</v>
      </c>
      <c r="U9" s="15">
        <f t="shared" si="4"/>
        <v>11</v>
      </c>
      <c r="V9" s="15">
        <f t="shared" si="4"/>
        <v>16</v>
      </c>
      <c r="W9" s="15">
        <f t="shared" si="4"/>
        <v>9</v>
      </c>
      <c r="X9" s="15">
        <f t="shared" si="4"/>
        <v>4</v>
      </c>
      <c r="Y9" s="15">
        <f t="shared" si="4"/>
        <v>2</v>
      </c>
      <c r="Z9" s="15">
        <f t="shared" si="4"/>
        <v>0</v>
      </c>
    </row>
    <row r="10" spans="1:26" s="24" customFormat="1">
      <c r="A10" s="24" t="s">
        <v>856</v>
      </c>
      <c r="B10" s="24">
        <f>COUNTIFS('Commons Table'!B:B,"Black",'Commons Table'!C:C,"1")-COUNTIFS('Commons Table'!B:B,"Black",'Commons Table'!E:E,"Creature",'Commons Table'!C:C,"1")</f>
        <v>6</v>
      </c>
      <c r="C10" s="24">
        <f>COUNTIFS('Commons Table'!B:B,"Black",'Commons Table'!C:C,"2")-COUNTIFS('Commons Table'!B:B,"Black",'Commons Table'!E:E,"Creature",'Commons Table'!C:C,"2")</f>
        <v>5</v>
      </c>
      <c r="D10" s="24">
        <f>COUNTIFS('Commons Table'!B:B,"Black",'Commons Table'!C:C,"3")-COUNTIFS('Commons Table'!B:B,"Black",'Commons Table'!E:E,"Creature",'Commons Table'!C:C,"3")</f>
        <v>4</v>
      </c>
      <c r="E10" s="24">
        <f>COUNTIFS('Commons Table'!B:B,"Black",'Commons Table'!C:C,"4")-COUNTIFS('Commons Table'!B:B,"Black",'Commons Table'!E:E,"Creature",'Commons Table'!C:C,"4")</f>
        <v>2</v>
      </c>
      <c r="F10" s="24">
        <f>COUNTIFS('Commons Table'!B:B,"Black",'Commons Table'!C:C,"5")-COUNTIFS('Commons Table'!B:B,"Black",'Commons Table'!E:E,"Creature",'Commons Table'!C:C,"5")</f>
        <v>0</v>
      </c>
      <c r="G10" s="24">
        <f>COUNTIFS('Commons Table'!B:B,"Black",'Commons Table'!C:C,"6")-COUNTIFS('Commons Table'!B:B,"Black",'Commons Table'!E:E,"Creature",'Commons Table'!C:C,"6")</f>
        <v>1</v>
      </c>
      <c r="H10" s="24">
        <f>COUNTIFS('Commons Table'!B:B,"Black",'Commons Table'!C:C,"7")-COUNTIFS('Commons Table'!B:B,"Black",'Commons Table'!E:E,"Creature",'Commons Table'!C:C,"7")</f>
        <v>1</v>
      </c>
      <c r="J10" s="24" t="s">
        <v>856</v>
      </c>
      <c r="K10" s="24">
        <f>COUNTIFS('Uncommons Table'!$B:$B,"Black",'Uncommons Table'!$C:$C,"1")-COUNTIFS('Uncommons Table'!$B:$B,"Black",'Uncommons Table'!$E:$E,"Creature",'Uncommons Table'!$C:$C,"1")</f>
        <v>1</v>
      </c>
      <c r="L10" s="24">
        <f>COUNTIFS('Uncommons Table'!$B:$B,"Black",'Uncommons Table'!$C:$C,"2")-COUNTIFS('Uncommons Table'!$B:$B,"Black",'Uncommons Table'!$E:$E,"Creature",'Uncommons Table'!$C:$C,"2")</f>
        <v>4</v>
      </c>
      <c r="M10" s="24">
        <f>COUNTIFS('Uncommons Table'!$B:$B,"Black",'Uncommons Table'!$C:$C,"3")-COUNTIFS('Uncommons Table'!$B:$B,"Black",'Uncommons Table'!$E:$E,"Creature",'Uncommons Table'!$C:$C,"3")</f>
        <v>4</v>
      </c>
      <c r="N10" s="24">
        <f>COUNTIFS('Uncommons Table'!$B:$B,"Black",'Uncommons Table'!$C:$C,"4")-COUNTIFS('Uncommons Table'!$B:$B,"Black",'Uncommons Table'!$E:$E,"Creature",'Uncommons Table'!$C:$C,"4")</f>
        <v>3</v>
      </c>
      <c r="O10" s="24">
        <f>COUNTIFS('Uncommons Table'!$B:$B,"Black",'Uncommons Table'!$C:$C,"5")-COUNTIFS('Uncommons Table'!$B:$B,"Black",'Uncommons Table'!$E:$E,"Creature",'Uncommons Table'!$C:$C,"5")</f>
        <v>2</v>
      </c>
      <c r="P10" s="24">
        <f>COUNTIFS('Uncommons Table'!$B:$B,"Black",'Uncommons Table'!$C:$C,"6")-COUNTIFS('Uncommons Table'!$B:$B,"Black",'Uncommons Table'!$E:$E,"Creature",'Uncommons Table'!$C:$C,"6")</f>
        <v>1</v>
      </c>
      <c r="Q10" s="24">
        <f>COUNTIFS('Uncommons Table'!$B:$B,"Black",'Uncommons Table'!$C:$C,"7")-COUNTIFS('Uncommons Table'!$B:$B,"Black",'Uncommons Table'!$E:$E,"Creature",'Uncommons Table'!$C:$C,"7")</f>
        <v>0</v>
      </c>
      <c r="S10" s="24" t="s">
        <v>856</v>
      </c>
      <c r="T10" s="24">
        <f t="shared" ref="T10:Z10" si="5">SUM(B10,K10)</f>
        <v>7</v>
      </c>
      <c r="U10" s="24">
        <f t="shared" si="5"/>
        <v>9</v>
      </c>
      <c r="V10" s="24">
        <f t="shared" si="5"/>
        <v>8</v>
      </c>
      <c r="W10" s="24">
        <f t="shared" si="5"/>
        <v>5</v>
      </c>
      <c r="X10" s="24">
        <f t="shared" si="5"/>
        <v>2</v>
      </c>
      <c r="Y10" s="24">
        <f t="shared" si="5"/>
        <v>2</v>
      </c>
      <c r="Z10" s="24">
        <f t="shared" si="5"/>
        <v>1</v>
      </c>
    </row>
    <row r="11" spans="1:26"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26">
      <c r="A12" s="15" t="s">
        <v>857</v>
      </c>
      <c r="B12">
        <f>COUNTIFS('Commons Table'!B:B, "Red", 'Commons Table'!E:E, "Creature", 'Commons Table'!C:C, "1")</f>
        <v>5</v>
      </c>
      <c r="C12">
        <f>COUNTIFS('Commons Table'!B:B, "Red", 'Commons Table'!E:E, "Creature", 'Commons Table'!C:C, "2")</f>
        <v>10</v>
      </c>
      <c r="D12">
        <f>COUNTIFS('Commons Table'!B:B, "Red", 'Commons Table'!E:E, "Creature", 'Commons Table'!C:C, "3")</f>
        <v>9</v>
      </c>
      <c r="E12">
        <f>COUNTIFS('Commons Table'!B:B, "Red", 'Commons Table'!E:E, "Creature", 'Commons Table'!C:C, "4")</f>
        <v>5</v>
      </c>
      <c r="F12">
        <f>COUNTIFS('Commons Table'!B:B, "Red", 'Commons Table'!E:E, "Creature", 'Commons Table'!C:C, "5")</f>
        <v>3</v>
      </c>
      <c r="G12">
        <f>COUNTIFS('Commons Table'!B:B, "Red", 'Commons Table'!E:E, "Creature", 'Commons Table'!C:C, "6")</f>
        <v>0</v>
      </c>
      <c r="J12" s="15" t="s">
        <v>857</v>
      </c>
      <c r="K12" s="15">
        <f>COUNTIFS('Uncommons Table'!$B:$B, "Red", 'Uncommons Table'!$E:$E, "Creature", 'Uncommons Table'!$C:$C, "1")</f>
        <v>2</v>
      </c>
      <c r="L12" s="15">
        <f>COUNTIFS('Uncommons Table'!$B:$B, "Red", 'Uncommons Table'!$E:$E, "Creature", 'Uncommons Table'!$C:$C, "2")</f>
        <v>5</v>
      </c>
      <c r="M12" s="15">
        <f>COUNTIFS('Uncommons Table'!$B:$B, "Red", 'Uncommons Table'!$E:$E, "Creature", 'Uncommons Table'!$C:$C, "3")</f>
        <v>4</v>
      </c>
      <c r="N12" s="15">
        <f>COUNTIFS('Uncommons Table'!$B:$B, "Red", 'Uncommons Table'!$E:$E, "Creature", 'Uncommons Table'!$C:$C, "4")</f>
        <v>3</v>
      </c>
      <c r="O12" s="15">
        <f>COUNTIFS('Uncommons Table'!$B:$B, "Red", 'Uncommons Table'!$E:$E, "Creature", 'Uncommons Table'!$C:$C, "5")</f>
        <v>2</v>
      </c>
      <c r="P12" s="15">
        <f>COUNTIFS('Uncommons Table'!$B:$B, "Red", 'Uncommons Table'!$E:$E, "Creature", 'Uncommons Table'!$C:$C, "6")</f>
        <v>2</v>
      </c>
      <c r="Q12" s="15"/>
      <c r="R12" s="15"/>
      <c r="S12" s="15" t="s">
        <v>857</v>
      </c>
      <c r="T12" s="15">
        <f t="shared" ref="T12:Z12" si="6">SUM(B12,K12)</f>
        <v>7</v>
      </c>
      <c r="U12" s="15">
        <f t="shared" si="6"/>
        <v>15</v>
      </c>
      <c r="V12" s="15">
        <f t="shared" si="6"/>
        <v>13</v>
      </c>
      <c r="W12" s="15">
        <f t="shared" si="6"/>
        <v>8</v>
      </c>
      <c r="X12" s="15">
        <f t="shared" si="6"/>
        <v>5</v>
      </c>
      <c r="Y12" s="15">
        <f t="shared" si="6"/>
        <v>2</v>
      </c>
      <c r="Z12" s="15">
        <f t="shared" si="6"/>
        <v>0</v>
      </c>
    </row>
    <row r="13" spans="1:26" s="24" customFormat="1">
      <c r="A13" s="24" t="s">
        <v>858</v>
      </c>
      <c r="B13" s="24">
        <f>COUNTIFS('Commons Table'!B:B,"Red",'Commons Table'!C:C,"1")-COUNTIFS('Commons Table'!B:B,"Red",'Commons Table'!E:E,"Creature",'Commons Table'!C:C,"1")</f>
        <v>6</v>
      </c>
      <c r="C13" s="24">
        <f>COUNTIFS('Commons Table'!B:B,"Red",'Commons Table'!C:C,"2")-COUNTIFS('Commons Table'!B:B,"Red",'Commons Table'!E:E,"Creature",'Commons Table'!C:C,"2")</f>
        <v>3</v>
      </c>
      <c r="D13" s="24">
        <f>COUNTIFS('Commons Table'!B:B,"Red",'Commons Table'!C:C,"3")-COUNTIFS('Commons Table'!B:B,"Red",'Commons Table'!E:E,"Creature",'Commons Table'!C:C,"3")</f>
        <v>7</v>
      </c>
      <c r="E13" s="24">
        <f>COUNTIFS('Commons Table'!B:B,"Red",'Commons Table'!C:C,"4")-COUNTIFS('Commons Table'!B:B,"Red",'Commons Table'!E:E,"Creature",'Commons Table'!C:C,"4")</f>
        <v>3</v>
      </c>
      <c r="F13" s="24">
        <f>COUNTIFS('Commons Table'!B:B,"Red",'Commons Table'!C:C,"5")-COUNTIFS('Commons Table'!B:B,"Red",'Commons Table'!E:E,"Creature",'Commons Table'!C:C,"5")</f>
        <v>0</v>
      </c>
      <c r="G13" s="24">
        <f>COUNTIFS('Commons Table'!B:B,"Red",'Commons Table'!C:C,"6")-COUNTIFS('Commons Table'!B:B,"Red",'Commons Table'!E:E,"Creature",'Commons Table'!C:C,"6")</f>
        <v>1</v>
      </c>
      <c r="J13" s="24" t="s">
        <v>858</v>
      </c>
      <c r="K13" s="24">
        <f>COUNTIFS('Uncommons Table'!$B:$B,"Red",'Uncommons Table'!$C:$C,"1")-COUNTIFS('Uncommons Table'!$B:$B,"Red",'Uncommons Table'!$E:$E,"Creature",'Uncommons Table'!$C:$C,"1")</f>
        <v>0</v>
      </c>
      <c r="L13" s="24">
        <f>COUNTIFS('Uncommons Table'!$B:$B,"Red",'Uncommons Table'!$C:$C,"2")-COUNTIFS('Uncommons Table'!$B:$B,"Red",'Uncommons Table'!$E:$E,"Creature",'Uncommons Table'!$C:$C,"2")</f>
        <v>4</v>
      </c>
      <c r="M13" s="24">
        <f>COUNTIFS('Uncommons Table'!$B:$B,"Red",'Uncommons Table'!$C:$C,"3")-COUNTIFS('Uncommons Table'!$B:$B,"Red",'Uncommons Table'!$E:$E,"Creature",'Uncommons Table'!$C:$C,"3")</f>
        <v>4</v>
      </c>
      <c r="N13" s="24">
        <f>COUNTIFS('Uncommons Table'!$B:$B,"Red",'Uncommons Table'!$C:$C,"4")-COUNTIFS('Uncommons Table'!$B:$B,"Red",'Uncommons Table'!$E:$E,"Creature",'Uncommons Table'!$C:$C,"4")</f>
        <v>2</v>
      </c>
      <c r="O13" s="24">
        <f>COUNTIFS('Uncommons Table'!$B:$B,"Red",'Uncommons Table'!$C:$C,"5")-COUNTIFS('Uncommons Table'!$B:$B,"Red",'Uncommons Table'!$E:$E,"Creature",'Uncommons Table'!$C:$C,"5")</f>
        <v>1</v>
      </c>
      <c r="P13" s="24">
        <f>COUNTIFS('Uncommons Table'!$B:$B,"Red",'Uncommons Table'!$C:$C,"6")-COUNTIFS('Uncommons Table'!$B:$B,"Red",'Uncommons Table'!$E:$E,"Creature",'Uncommons Table'!$C:$C,"6")</f>
        <v>2</v>
      </c>
      <c r="S13" s="24" t="s">
        <v>858</v>
      </c>
      <c r="T13" s="24">
        <f t="shared" ref="T13:Z13" si="7">SUM(B13,K13)</f>
        <v>6</v>
      </c>
      <c r="U13" s="24">
        <f t="shared" si="7"/>
        <v>7</v>
      </c>
      <c r="V13" s="24">
        <f t="shared" si="7"/>
        <v>11</v>
      </c>
      <c r="W13" s="24">
        <f t="shared" si="7"/>
        <v>5</v>
      </c>
      <c r="X13" s="24">
        <f t="shared" si="7"/>
        <v>1</v>
      </c>
      <c r="Y13" s="24">
        <f t="shared" si="7"/>
        <v>3</v>
      </c>
      <c r="Z13" s="24">
        <f t="shared" si="7"/>
        <v>0</v>
      </c>
    </row>
    <row r="14" spans="1:26"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26">
      <c r="A15" s="15" t="s">
        <v>859</v>
      </c>
      <c r="B15">
        <f>COUNTIFS('Commons Table'!B:B, "Green", 'Commons Table'!E:E, "Creature", 'Commons Table'!C:C, "1")</f>
        <v>5</v>
      </c>
      <c r="C15">
        <f>COUNTIFS('Commons Table'!B:B, "Green", 'Commons Table'!E:E, "Creature", 'Commons Table'!C:C, "2")</f>
        <v>9</v>
      </c>
      <c r="D15">
        <f>COUNTIFS('Commons Table'!B:B, "Green", 'Commons Table'!E:E, "Creature", 'Commons Table'!C:C, "3")</f>
        <v>9</v>
      </c>
      <c r="E15">
        <f>COUNTIFS('Commons Table'!B:B, "Green", 'Commons Table'!E:E, "Creature", 'Commons Table'!C:C, "4")</f>
        <v>8</v>
      </c>
      <c r="F15">
        <f>COUNTIFS('Commons Table'!B:B, "Green", 'Commons Table'!E:E, "Creature", 'Commons Table'!C:C, "5")</f>
        <v>2</v>
      </c>
      <c r="G15">
        <f>COUNTIFS('Commons Table'!B:B, "Green", 'Commons Table'!E:E, "Creature", 'Commons Table'!C:C, "6")</f>
        <v>2</v>
      </c>
      <c r="H15">
        <f>COUNTIFS('Commons Table'!B:B, "Green", 'Commons Table'!E:E, "Creature", 'Commons Table'!C:C, "7")</f>
        <v>2</v>
      </c>
      <c r="J15" s="15" t="s">
        <v>859</v>
      </c>
      <c r="K15" s="15">
        <f>COUNTIFS('Uncommons Table'!$B:$B, "Green", 'Uncommons Table'!$E:$E, "Creature", 'Uncommons Table'!$C:$C, "1")</f>
        <v>1</v>
      </c>
      <c r="L15" s="15">
        <f>COUNTIFS('Uncommons Table'!$B:$B, "Green", 'Uncommons Table'!$E:$E, "Creature", 'Uncommons Table'!$C:$C, "2")</f>
        <v>4</v>
      </c>
      <c r="M15" s="15">
        <f>COUNTIFS('Uncommons Table'!$B:$B, "Green", 'Uncommons Table'!$E:$E, "Creature", 'Uncommons Table'!$C:$C, "3")</f>
        <v>5</v>
      </c>
      <c r="N15" s="15">
        <f>COUNTIFS('Uncommons Table'!$B:$B, "Green", 'Uncommons Table'!$E:$E, "Creature", 'Uncommons Table'!$C:$C, "4")</f>
        <v>3</v>
      </c>
      <c r="O15" s="15">
        <f>COUNTIFS('Uncommons Table'!$B:$B, "Green", 'Uncommons Table'!$E:$E, "Creature", 'Uncommons Table'!$C:$C, "5")</f>
        <v>4</v>
      </c>
      <c r="P15" s="15">
        <f>COUNTIFS('Uncommons Table'!$B:$B, "Green", 'Uncommons Table'!$E:$E, "Creature", 'Uncommons Table'!$C:$C, "6")</f>
        <v>3</v>
      </c>
      <c r="Q15" s="15">
        <f>COUNTIFS('Uncommons Table'!$B:$B, "Green", 'Uncommons Table'!$E:$E, "Creature", 'Uncommons Table'!$C:$C, "7")</f>
        <v>1</v>
      </c>
      <c r="R15" s="15"/>
      <c r="S15" s="15" t="s">
        <v>859</v>
      </c>
      <c r="T15" s="15">
        <f t="shared" ref="T15:Z15" si="8">SUM(B15,K15)</f>
        <v>6</v>
      </c>
      <c r="U15" s="15">
        <f t="shared" si="8"/>
        <v>13</v>
      </c>
      <c r="V15" s="15">
        <f t="shared" si="8"/>
        <v>14</v>
      </c>
      <c r="W15" s="15">
        <f t="shared" si="8"/>
        <v>11</v>
      </c>
      <c r="X15" s="15">
        <f t="shared" si="8"/>
        <v>6</v>
      </c>
      <c r="Y15" s="15">
        <f t="shared" si="8"/>
        <v>5</v>
      </c>
      <c r="Z15" s="15">
        <f t="shared" si="8"/>
        <v>3</v>
      </c>
    </row>
    <row r="16" spans="1:26" s="24" customFormat="1">
      <c r="A16" s="24" t="s">
        <v>860</v>
      </c>
      <c r="B16" s="24">
        <f>COUNTIFS('Commons Table'!B:B,"Green",'Commons Table'!C:C,"1")-COUNTIFS('Commons Table'!B:B,"Green",'Commons Table'!E:E,"Creature",'Commons Table'!C:C,"1")</f>
        <v>3</v>
      </c>
      <c r="C16" s="24">
        <f>COUNTIFS('Commons Table'!B:B,"Green",'Commons Table'!C:C,"2")-COUNTIFS('Commons Table'!B:B,"Green",'Commons Table'!E:E,"Creature",'Commons Table'!C:C,"2")</f>
        <v>5</v>
      </c>
      <c r="D16" s="24">
        <f>COUNTIFS('Commons Table'!B:B,"Green",'Commons Table'!C:C,"3")-COUNTIFS('Commons Table'!B:B,"Green",'Commons Table'!E:E,"Creature",'Commons Table'!C:C,"3")</f>
        <v>5</v>
      </c>
      <c r="E16" s="24">
        <f>COUNTIFS('Commons Table'!B:B,"Green",'Commons Table'!C:C,"4")-COUNTIFS('Commons Table'!B:B,"Green",'Commons Table'!E:E,"Creature",'Commons Table'!C:C,"4")</f>
        <v>2</v>
      </c>
      <c r="F16" s="24">
        <f>COUNTIFS('Commons Table'!B:B,"Green",'Commons Table'!C:C,"5")-COUNTIFS('Commons Table'!B:B,"Green",'Commons Table'!E:E,"Creature",'Commons Table'!C:C,"5")</f>
        <v>0</v>
      </c>
      <c r="G16" s="24">
        <f>COUNTIFS('Commons Table'!B:B,"Green",'Commons Table'!C:C,"6")-COUNTIFS('Commons Table'!B:B,"Green",'Commons Table'!E:E,"Creature",'Commons Table'!C:C,"6")</f>
        <v>0</v>
      </c>
      <c r="H16" s="24">
        <f>COUNTIFS('Commons Table'!B:B,"Green",'Commons Table'!C:C,"7")-COUNTIFS('Commons Table'!B:B,"Green",'Commons Table'!E:E,"Creature",'Commons Table'!C:C,"7")</f>
        <v>0</v>
      </c>
      <c r="J16" s="24" t="s">
        <v>860</v>
      </c>
      <c r="K16" s="24">
        <f>COUNTIFS('Uncommons Table'!$B:$B,"Green",'Uncommons Table'!$C:$C,"1")-COUNTIFS('Uncommons Table'!$B:$B,"Green",'Uncommons Table'!$E:$E,"Creature",'Uncommons Table'!$C:$C,"1")</f>
        <v>1</v>
      </c>
      <c r="L16" s="24">
        <f>COUNTIFS('Uncommons Table'!$B:$B,"Green",'Uncommons Table'!$C:$C,"2")-COUNTIFS('Uncommons Table'!$B:$B,"Green",'Uncommons Table'!$E:$E,"Creature",'Uncommons Table'!$C:$C,"2")</f>
        <v>2</v>
      </c>
      <c r="M16" s="24">
        <f>COUNTIFS('Uncommons Table'!$B:$B,"Green",'Uncommons Table'!$C:$C,"3")-COUNTIFS('Uncommons Table'!$B:$B,"Green",'Uncommons Table'!$E:$E,"Creature",'Uncommons Table'!$C:$C,"3")</f>
        <v>2</v>
      </c>
      <c r="N16" s="24">
        <f>COUNTIFS('Uncommons Table'!$B:$B,"Green",'Uncommons Table'!$C:$C,"4")-COUNTIFS('Uncommons Table'!$B:$B,"Green",'Uncommons Table'!$E:$E,"Creature",'Uncommons Table'!$C:$C,"4")</f>
        <v>2</v>
      </c>
      <c r="O16" s="24">
        <f>COUNTIFS('Uncommons Table'!$B:$B,"Green",'Uncommons Table'!$C:$C,"5")-COUNTIFS('Uncommons Table'!$B:$B,"Green",'Uncommons Table'!$E:$E,"Creature",'Uncommons Table'!$C:$C,"5")</f>
        <v>2</v>
      </c>
      <c r="P16" s="24">
        <f>COUNTIFS('Uncommons Table'!$B:$B,"Green",'Uncommons Table'!$C:$C,"6")-COUNTIFS('Uncommons Table'!$B:$B,"Green",'Uncommons Table'!$E:$E,"Creature",'Uncommons Table'!$C:$C,"6")</f>
        <v>1</v>
      </c>
      <c r="Q16" s="24">
        <f>COUNTIFS('Uncommons Table'!$B:$B,"Green",'Uncommons Table'!$C:$C,"7")-COUNTIFS('Uncommons Table'!$B:$B,"Green",'Uncommons Table'!$E:$E,"Creature",'Uncommons Table'!$C:$C,"7")</f>
        <v>0</v>
      </c>
      <c r="S16" s="24" t="s">
        <v>860</v>
      </c>
      <c r="T16" s="24">
        <f t="shared" ref="T16:Z16" si="9">SUM(B16,K16)</f>
        <v>4</v>
      </c>
      <c r="U16" s="24">
        <f t="shared" si="9"/>
        <v>7</v>
      </c>
      <c r="V16" s="24">
        <f t="shared" si="9"/>
        <v>7</v>
      </c>
      <c r="W16" s="24">
        <f t="shared" si="9"/>
        <v>4</v>
      </c>
      <c r="X16" s="24">
        <f t="shared" si="9"/>
        <v>2</v>
      </c>
      <c r="Y16" s="24">
        <f t="shared" si="9"/>
        <v>1</v>
      </c>
      <c r="Z16" s="24">
        <f t="shared" si="9"/>
        <v>0</v>
      </c>
    </row>
    <row r="17" spans="1:27"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1:27">
      <c r="A18" s="15" t="s">
        <v>861</v>
      </c>
      <c r="B18">
        <f>COUNTIFS('Commons Table'!B:B, "Gold", 'Commons Table'!E:E, "Creature", 'Commons Table'!C:C, "1")+COUNTIFS('Commons Table'!B:B, "Hybrid", 'Commons Table'!E:E, "Creature", 'Commons Table'!C:C, "1")</f>
        <v>0</v>
      </c>
      <c r="C18">
        <f>COUNTIFS('Commons Table'!B:B, "Gold", 'Commons Table'!E:E, "Creature", 'Commons Table'!C:C, "2")+COUNTIFS('Commons Table'!B:B, "Hybrid", 'Commons Table'!E:E, "Creature", 'Commons Table'!C:C, "2")</f>
        <v>2</v>
      </c>
      <c r="D18">
        <f>COUNTIFS('Commons Table'!B:B, "Gold", 'Commons Table'!E:E, "Creature", 'Commons Table'!C:C, "3")+COUNTIFS('Commons Table'!B:B, "Hybrid", 'Commons Table'!E:E, "Creature", 'Commons Table'!C:C, "3")</f>
        <v>5</v>
      </c>
      <c r="E18">
        <f>COUNTIFS('Commons Table'!B:B, "Gold", 'Commons Table'!E:E, "Creature", 'Commons Table'!C:C, "4")+COUNTIFS('Commons Table'!B:B, "Hybrid", 'Commons Table'!E:E, "Creature", 'Commons Table'!C:C, "4")</f>
        <v>3</v>
      </c>
      <c r="F18">
        <f>COUNTIFS('Commons Table'!B:B, "Gold", 'Commons Table'!E:E, "Creature", 'Commons Table'!C:C, "5")+COUNTIFS('Commons Table'!B:B, "Hybrid", 'Commons Table'!E:E, "Creature", 'Commons Table'!C:C, "5")</f>
        <v>5</v>
      </c>
      <c r="G18">
        <f>COUNTIFS('Commons Table'!B:B, "Gold", 'Commons Table'!E:E, "Creature", 'Commons Table'!C:C, "6")+COUNTIFS('Commons Table'!B:B, "Hybrid", 'Commons Table'!E:E, "Creature", 'Commons Table'!C:C, "6")</f>
        <v>3</v>
      </c>
      <c r="J18" s="15" t="s">
        <v>861</v>
      </c>
      <c r="K18" s="15">
        <f>COUNTIFS('Uncommons Table'!$B:$B, "Gold", 'Uncommons Table'!$E:$E, "Creature", 'Uncommons Table'!$C:$C, "1")+COUNTIFS('Uncommons Table'!$B:$B, "Hybrid", 'Uncommons Table'!$E:$E, "Creature", 'Uncommons Table'!$C:$C, "1")</f>
        <v>1</v>
      </c>
      <c r="L18" s="15">
        <f>COUNTIFS('Uncommons Table'!$B:$B, "Gold", 'Uncommons Table'!$E:$E, "Creature", 'Uncommons Table'!$C:$C, "2")+COUNTIFS('Uncommons Table'!$B:$B, "Hybrid", 'Uncommons Table'!$E:$E, "Creature", 'Uncommons Table'!$C:$C, "2")</f>
        <v>10</v>
      </c>
      <c r="M18" s="15">
        <f>COUNTIFS('Uncommons Table'!$B:$B, "Gold", 'Uncommons Table'!$E:$E, "Creature", 'Uncommons Table'!$C:$C, "3")+COUNTIFS('Uncommons Table'!$B:$B, "Hybrid", 'Uncommons Table'!$E:$E, "Creature", 'Uncommons Table'!$C:$C, "3")</f>
        <v>6</v>
      </c>
      <c r="N18" s="15">
        <f>COUNTIFS('Uncommons Table'!$B:$B, "Gold", 'Uncommons Table'!$E:$E, "Creature", 'Uncommons Table'!$C:$C, "4")+COUNTIFS('Uncommons Table'!$B:$B, "Hybrid", 'Uncommons Table'!$E:$E, "Creature", 'Uncommons Table'!$C:$C, "4")</f>
        <v>4</v>
      </c>
      <c r="O18" s="15">
        <f>COUNTIFS('Uncommons Table'!$B:$B, "Gold", 'Uncommons Table'!$E:$E, "Creature", 'Uncommons Table'!$C:$C, "5")+COUNTIFS('Uncommons Table'!$B:$B, "Hybrid", 'Uncommons Table'!$E:$E, "Creature", 'Uncommons Table'!$C:$C, "5")</f>
        <v>3</v>
      </c>
      <c r="P18" s="15">
        <f>COUNTIFS('Uncommons Table'!$B:$B, "Gold", 'Uncommons Table'!$E:$E, "Creature", 'Uncommons Table'!$C:$C, "6")+COUNTIFS('Uncommons Table'!$B:$B, "Hybrid", 'Uncommons Table'!$E:$E, "Creature", 'Uncommons Table'!$C:$C, "6")</f>
        <v>3</v>
      </c>
      <c r="Q18" s="15"/>
      <c r="R18" s="15"/>
      <c r="S18" s="15" t="s">
        <v>861</v>
      </c>
      <c r="T18" s="15">
        <f t="shared" ref="T18:Z18" si="10">SUM(B18,K18)</f>
        <v>1</v>
      </c>
      <c r="U18" s="15">
        <f t="shared" si="10"/>
        <v>12</v>
      </c>
      <c r="V18" s="15">
        <f t="shared" si="10"/>
        <v>11</v>
      </c>
      <c r="W18" s="15">
        <f t="shared" si="10"/>
        <v>7</v>
      </c>
      <c r="X18" s="15">
        <f t="shared" si="10"/>
        <v>8</v>
      </c>
      <c r="Y18" s="15">
        <f t="shared" si="10"/>
        <v>6</v>
      </c>
      <c r="Z18" s="15">
        <f t="shared" si="10"/>
        <v>0</v>
      </c>
    </row>
    <row r="19" spans="1:27" s="24" customFormat="1">
      <c r="A19" s="24" t="s">
        <v>862</v>
      </c>
      <c r="B19" s="24">
        <f>COUNTIFS('Commons Table'!B:B,"Gold",'Commons Table'!C:C,"1")-COUNTIFS('Commons Table'!B:B,"Gold",'Commons Table'!E:E,"Creature",'Commons Table'!C:C,"1")+COUNTIFS('Commons Table'!B:B,"Hybrid",'Commons Table'!C:C,"1")-COUNTIFS('Commons Table'!B:B,"Hybrid",'Commons Table'!E:E,"Creature",'Commons Table'!C:C,"1")</f>
        <v>0</v>
      </c>
      <c r="C19" s="24">
        <f>COUNTIFS('Commons Table'!B:B,"Gold",'Commons Table'!C:C,"2")-COUNTIFS('Commons Table'!B:B,"Gold",'Commons Table'!E:E,"Creature",'Commons Table'!C:C,"2")+COUNTIFS('Commons Table'!B:B,"Hybrid",'Commons Table'!C:C,"2")-COUNTIFS('Commons Table'!B:B,"Hybrid",'Commons Table'!E:E,"Creature",'Commons Table'!C:C,"2")</f>
        <v>4</v>
      </c>
      <c r="D19" s="24">
        <f>COUNTIFS('Commons Table'!B:B,"Gold",'Commons Table'!C:C,"3")-COUNTIFS('Commons Table'!B:B,"Gold",'Commons Table'!E:E,"Creature",'Commons Table'!C:C,"3")+COUNTIFS('Commons Table'!B:B,"Hybrid",'Commons Table'!C:C,"3")-COUNTIFS('Commons Table'!B:B,"Hybrid",'Commons Table'!E:E,"Creature",'Commons Table'!C:C,"3")</f>
        <v>7</v>
      </c>
      <c r="E19" s="24">
        <f>COUNTIFS('Commons Table'!B:B,"Gold",'Commons Table'!C:C,"4")-COUNTIFS('Commons Table'!B:B,"Gold",'Commons Table'!E:E,"Creature",'Commons Table'!C:C,"4")+COUNTIFS('Commons Table'!B:B,"Hybrid",'Commons Table'!C:C,"4")-COUNTIFS('Commons Table'!B:B,"Hybrid",'Commons Table'!E:E,"Creature",'Commons Table'!C:C,"4")</f>
        <v>1</v>
      </c>
      <c r="F19" s="24">
        <f>COUNTIFS('Commons Table'!B:B,"Gold",'Commons Table'!C:C,"5")-COUNTIFS('Commons Table'!B:B,"Gold",'Commons Table'!E:E,"Creature",'Commons Table'!C:C,"5")+COUNTIFS('Commons Table'!B:B,"Hybrid",'Commons Table'!C:C,"5")-COUNTIFS('Commons Table'!B:B,"Hybrid",'Commons Table'!E:E,"Creature",'Commons Table'!C:C,"5")</f>
        <v>0</v>
      </c>
      <c r="G19" s="24">
        <f>COUNTIFS('Commons Table'!B:B,"Gold",'Commons Table'!C:C,"6")-COUNTIFS('Commons Table'!B:B,"Gold",'Commons Table'!E:E,"Creature",'Commons Table'!C:C,"6")+COUNTIFS('Commons Table'!B:B,"Hybrid",'Commons Table'!C:C,"6")-COUNTIFS('Commons Table'!B:B,"Hybrid",'Commons Table'!E:E,"Creature",'Commons Table'!C:C,"6")</f>
        <v>0</v>
      </c>
      <c r="J19" s="24" t="s">
        <v>862</v>
      </c>
      <c r="K19" s="24">
        <f>COUNTIFS('Uncommons Table'!$B:$B,"Gold",'Uncommons Table'!$C:$C,"1")-COUNTIFS('Uncommons Table'!$B:$B,"Gold",'Uncommons Table'!$E:$E,"Creature",'Uncommons Table'!$C:$C,"1")+COUNTIFS('Uncommons Table'!$B:$B,"Hybrid",'Uncommons Table'!$C:$C,"1")-COUNTIFS('Uncommons Table'!$B:$B,"Hybrid",'Uncommons Table'!$E:$E,"Creature",'Uncommons Table'!$C:$C,"1")</f>
        <v>0</v>
      </c>
      <c r="L19" s="24">
        <f>COUNTIFS('Uncommons Table'!$B:$B,"Gold",'Uncommons Table'!$C:$C,"2")-COUNTIFS('Uncommons Table'!$B:$B,"Gold",'Uncommons Table'!$E:$E,"Creature",'Uncommons Table'!$C:$C,"2")+COUNTIFS('Uncommons Table'!$B:$B,"Hybrid",'Uncommons Table'!$C:$C,"2")-COUNTIFS('Uncommons Table'!$B:$B,"Hybrid",'Uncommons Table'!$E:$E,"Creature",'Uncommons Table'!$C:$C,"2")</f>
        <v>3</v>
      </c>
      <c r="M19" s="24">
        <f>COUNTIFS('Uncommons Table'!$B:$B,"Gold",'Uncommons Table'!$C:$C,"3")-COUNTIFS('Uncommons Table'!$B:$B,"Gold",'Uncommons Table'!$E:$E,"Creature",'Uncommons Table'!$C:$C,"3")+COUNTIFS('Uncommons Table'!$B:$B,"Hybrid",'Uncommons Table'!$C:$C,"3")-COUNTIFS('Uncommons Table'!$B:$B,"Hybrid",'Uncommons Table'!$E:$E,"Creature",'Uncommons Table'!$C:$C,"3")</f>
        <v>5</v>
      </c>
      <c r="N19" s="24">
        <f>COUNTIFS('Uncommons Table'!$B:$B,"Gold",'Uncommons Table'!$C:$C,"4")-COUNTIFS('Uncommons Table'!$B:$B,"Gold",'Uncommons Table'!$E:$E,"Creature",'Uncommons Table'!$C:$C,"4")+COUNTIFS('Uncommons Table'!$B:$B,"Hybrid",'Uncommons Table'!$C:$C,"4")-COUNTIFS('Uncommons Table'!$B:$B,"Hybrid",'Uncommons Table'!$E:$E,"Creature",'Uncommons Table'!$C:$C,"4")</f>
        <v>0</v>
      </c>
      <c r="O19" s="24">
        <f>COUNTIFS('Uncommons Table'!$B:$B,"Gold",'Uncommons Table'!$C:$C,"5")-COUNTIFS('Uncommons Table'!$B:$B,"Gold",'Uncommons Table'!$E:$E,"Creature",'Uncommons Table'!$C:$C,"5")+COUNTIFS('Uncommons Table'!$B:$B,"Hybrid",'Uncommons Table'!$C:$C,"5")-COUNTIFS('Uncommons Table'!$B:$B,"Hybrid",'Uncommons Table'!$E:$E,"Creature",'Uncommons Table'!$C:$C,"5")</f>
        <v>2</v>
      </c>
      <c r="P19" s="24">
        <f>COUNTIFS('Uncommons Table'!$B:$B,"Gold",'Uncommons Table'!$C:$C,"6")-COUNTIFS('Uncommons Table'!$B:$B,"Gold",'Uncommons Table'!$E:$E,"Creature",'Uncommons Table'!$C:$C,"6")+COUNTIFS('Uncommons Table'!$B:$B,"Hybrid",'Uncommons Table'!$C:$C,"6")-COUNTIFS('Uncommons Table'!$B:$B,"Hybrid",'Uncommons Table'!$E:$E,"Creature",'Uncommons Table'!$C:$C,"6")</f>
        <v>2</v>
      </c>
      <c r="S19" s="24" t="s">
        <v>862</v>
      </c>
      <c r="T19" s="24">
        <f t="shared" ref="T19:Z19" si="11">SUM(B19,K19)</f>
        <v>0</v>
      </c>
      <c r="U19" s="24">
        <f t="shared" si="11"/>
        <v>7</v>
      </c>
      <c r="V19" s="24">
        <f t="shared" si="11"/>
        <v>12</v>
      </c>
      <c r="W19" s="24">
        <f t="shared" si="11"/>
        <v>1</v>
      </c>
      <c r="X19" s="24">
        <f t="shared" si="11"/>
        <v>2</v>
      </c>
      <c r="Y19" s="24">
        <f t="shared" si="11"/>
        <v>2</v>
      </c>
      <c r="Z19" s="24">
        <f t="shared" si="11"/>
        <v>0</v>
      </c>
    </row>
    <row r="20" spans="1:27"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27">
      <c r="A21" s="15" t="s">
        <v>863</v>
      </c>
      <c r="B21">
        <f>COUNTIFS('Commons Table'!B:B, "Colorless", 'Commons Table'!E:E, "Creature", 'Commons Table'!C:C, "1")</f>
        <v>0</v>
      </c>
      <c r="C21">
        <f>COUNTIFS('Commons Table'!B:B, "Colorless", 'Commons Table'!E:E, "Creature", 'Commons Table'!C:C, "2")</f>
        <v>2</v>
      </c>
      <c r="D21">
        <f>COUNTIFS('Commons Table'!B:B, "Colorless", 'Commons Table'!E:E, "Creature", 'Commons Table'!C:C, "3")</f>
        <v>5</v>
      </c>
      <c r="E21">
        <f>COUNTIFS('Commons Table'!B:B, "Colorless", 'Commons Table'!E:E, "Creature", 'Commons Table'!C:C, "4")</f>
        <v>0</v>
      </c>
      <c r="F21">
        <f>COUNTIFS('Commons Table'!B:B, "Colorless", 'Commons Table'!E:E, "Creature", 'Commons Table'!C:C, "5")</f>
        <v>1</v>
      </c>
      <c r="G21">
        <f>COUNTIFS('Commons Table'!B:B, "Colorless", 'Commons Table'!E:E, "Creature", 'Commons Table'!C:C, "6")</f>
        <v>3</v>
      </c>
      <c r="H21">
        <f>COUNTIFS('Commons Table'!B:B, "Colorless", 'Commons Table'!E:E, "Creature", 'Commons Table'!C:C, "7")</f>
        <v>1</v>
      </c>
      <c r="I21">
        <f>COUNTIFS('Commons Table'!B:B, "Colorless", 'Commons Table'!E:E, "Creature", 'Commons Table'!C:C, "8")</f>
        <v>1</v>
      </c>
      <c r="J21" s="15" t="s">
        <v>863</v>
      </c>
      <c r="K21" s="15">
        <f>COUNTIFS('Uncommons Table'!$B:$B, "Colorless", 'Uncommons Table'!$E:$E, "Creature", 'Uncommons Table'!$C:$C, "1")</f>
        <v>0</v>
      </c>
      <c r="L21" s="15">
        <f>COUNTIFS('Uncommons Table'!$B:$B, "Colorless", 'Uncommons Table'!$E:$E, "Creature", 'Uncommons Table'!$C:$C, "2")</f>
        <v>0</v>
      </c>
      <c r="M21" s="15">
        <f>COUNTIFS('Uncommons Table'!$B:$B, "Colorless", 'Uncommons Table'!$E:$E, "Creature", 'Uncommons Table'!$C:$C, "3")</f>
        <v>0</v>
      </c>
      <c r="N21" s="15">
        <f>COUNTIFS('Uncommons Table'!$B:$B, "Colorless", 'Uncommons Table'!$E:$E, "Creature", 'Uncommons Table'!$C:$C, "4")</f>
        <v>4</v>
      </c>
      <c r="O21" s="15">
        <f>COUNTIFS('Uncommons Table'!$B:$B, "Colorless", 'Uncommons Table'!$E:$E, "Creature", 'Uncommons Table'!$C:$C, "5")</f>
        <v>0</v>
      </c>
      <c r="P21" s="15">
        <f>COUNTIFS('Uncommons Table'!$B:$B, "Colorless", 'Uncommons Table'!$E:$E, "Creature", 'Uncommons Table'!$C:$C, "6")</f>
        <v>2</v>
      </c>
      <c r="Q21" s="15"/>
      <c r="R21" s="15"/>
      <c r="S21" s="15" t="s">
        <v>863</v>
      </c>
      <c r="T21" s="15">
        <f t="shared" ref="T21:AA21" si="12">SUM(B21,K21)</f>
        <v>0</v>
      </c>
      <c r="U21" s="15">
        <f t="shared" si="12"/>
        <v>2</v>
      </c>
      <c r="V21" s="15">
        <f t="shared" si="12"/>
        <v>5</v>
      </c>
      <c r="W21" s="15">
        <f t="shared" si="12"/>
        <v>4</v>
      </c>
      <c r="X21" s="15">
        <f t="shared" si="12"/>
        <v>1</v>
      </c>
      <c r="Y21" s="15">
        <f t="shared" si="12"/>
        <v>5</v>
      </c>
      <c r="Z21" s="15">
        <f t="shared" si="12"/>
        <v>1</v>
      </c>
      <c r="AA21" s="15">
        <f t="shared" si="12"/>
        <v>1</v>
      </c>
    </row>
    <row r="22" spans="1:27" s="24" customFormat="1">
      <c r="A22" s="24" t="s">
        <v>864</v>
      </c>
      <c r="B22" s="24">
        <f>COUNTIFS('Commons Table'!B:B,"Colorless",'Commons Table'!C:C,"1")-COUNTIFS('Commons Table'!B:B,"Colorless",'Commons Table'!E:E,"Creature",'Commons Table'!C:C,"1")</f>
        <v>10</v>
      </c>
      <c r="C22" s="24">
        <f>COUNTIFS('Commons Table'!B:B,"Colorless",'Commons Table'!C:C,"2")-COUNTIFS('Commons Table'!B:B,"Colorless",'Commons Table'!E:E,"Creature",'Commons Table'!C:C,"2")</f>
        <v>10</v>
      </c>
      <c r="D22" s="24">
        <f>COUNTIFS('Commons Table'!B:B,"Colorless",'Commons Table'!C:C,"3")-COUNTIFS('Commons Table'!B:B,"Colorless",'Commons Table'!E:E,"Creature",'Commons Table'!C:C,"3")</f>
        <v>1</v>
      </c>
      <c r="E22" s="24">
        <f>COUNTIFS('Commons Table'!B:B,"Colorless",'Commons Table'!C:C,"4")-COUNTIFS('Commons Table'!B:B,"Colorless",'Commons Table'!E:E,"Creature",'Commons Table'!C:C,"4")</f>
        <v>1</v>
      </c>
      <c r="F22" s="24">
        <f>COUNTIFS('Commons Table'!B:B,"Colorless",'Commons Table'!C:C,"5")-COUNTIFS('Commons Table'!B:B,"Colorless",'Commons Table'!E:E,"Creature",'Commons Table'!C:C,"5")</f>
        <v>0</v>
      </c>
      <c r="G22" s="24">
        <f>COUNTIFS('Commons Table'!B:B,"Colorless",'Commons Table'!C:C,"6")-COUNTIFS('Commons Table'!B:B,"Colorless",'Commons Table'!E:E,"Creature",'Commons Table'!C:C,"6")</f>
        <v>0</v>
      </c>
      <c r="H22" s="24">
        <f>COUNTIFS('Commons Table'!B:B,"Colorless",'Commons Table'!C:C,"7")-COUNTIFS('Commons Table'!B:B,"Colorless",'Commons Table'!E:E,"Creature",'Commons Table'!C:C,"7")</f>
        <v>0</v>
      </c>
      <c r="I22" s="24">
        <f>COUNTIFS('Commons Table'!B:B,"Colorless",'Commons Table'!C:C,"8")-COUNTIFS('Commons Table'!B:B,"Colorless",'Commons Table'!E:E,"Creature",'Commons Table'!C:C,"8")</f>
        <v>0</v>
      </c>
      <c r="J22" s="24" t="s">
        <v>864</v>
      </c>
      <c r="K22" s="24">
        <f>COUNTIFS('Uncommons Table'!$B:$B,"Colorless",'Uncommons Table'!$C:$C,"1")-COUNTIFS('Uncommons Table'!$B:$B,"Colorless",'Uncommons Table'!$E:$E,"Creature",'Uncommons Table'!$C:$C,"1")</f>
        <v>3</v>
      </c>
      <c r="L22" s="24">
        <f>COUNTIFS('Uncommons Table'!$B:$B,"Colorless",'Uncommons Table'!$C:$C,"2")-COUNTIFS('Uncommons Table'!$B:$B,"Colorless",'Uncommons Table'!$E:$E,"Creature",'Uncommons Table'!$C:$C,"2")</f>
        <v>12</v>
      </c>
      <c r="M22" s="24">
        <f>COUNTIFS('Uncommons Table'!$B:$B,"Colorless",'Uncommons Table'!$C:$C,"3")-COUNTIFS('Uncommons Table'!$B:$B,"Colorless",'Uncommons Table'!$E:$E,"Creature",'Uncommons Table'!$C:$C,"3")</f>
        <v>7</v>
      </c>
      <c r="N22" s="24">
        <f>COUNTIFS('Uncommons Table'!$B:$B,"Colorless",'Uncommons Table'!$C:$C,"4")-COUNTIFS('Uncommons Table'!$B:$B,"Colorless",'Uncommons Table'!$E:$E,"Creature",'Uncommons Table'!$C:$C,"4")</f>
        <v>2</v>
      </c>
      <c r="O22" s="24">
        <f>COUNTIFS('Uncommons Table'!$B:$B,"Colorless",'Uncommons Table'!$C:$C,"5")-COUNTIFS('Uncommons Table'!$B:$B,"Colorless",'Uncommons Table'!$E:$E,"Creature",'Uncommons Table'!$C:$C,"5")</f>
        <v>1</v>
      </c>
      <c r="P22" s="24">
        <f>COUNTIFS('Uncommons Table'!$B:$B,"Colorless",'Uncommons Table'!$C:$C,"6")-COUNTIFS('Uncommons Table'!$B:$B,"Colorless",'Uncommons Table'!$E:$E,"Creature",'Uncommons Table'!$C:$C,"6")</f>
        <v>2</v>
      </c>
      <c r="S22" s="24" t="s">
        <v>864</v>
      </c>
      <c r="T22" s="24">
        <f t="shared" ref="T22:AA22" si="13">SUM(B22,K22)</f>
        <v>13</v>
      </c>
      <c r="U22" s="24">
        <f t="shared" si="13"/>
        <v>22</v>
      </c>
      <c r="V22" s="24">
        <f t="shared" si="13"/>
        <v>8</v>
      </c>
      <c r="W22" s="24">
        <f t="shared" si="13"/>
        <v>3</v>
      </c>
      <c r="X22" s="24">
        <f t="shared" si="13"/>
        <v>1</v>
      </c>
      <c r="Y22" s="24">
        <f t="shared" si="13"/>
        <v>2</v>
      </c>
      <c r="Z22" s="24">
        <f t="shared" si="13"/>
        <v>0</v>
      </c>
      <c r="AA22" s="24">
        <f t="shared" si="13"/>
        <v>0</v>
      </c>
    </row>
    <row r="23" spans="1:27"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27">
      <c r="A24" s="15" t="s">
        <v>865</v>
      </c>
      <c r="B24">
        <f t="shared" ref="B24:G24" si="14">SUM(B3,B6,B9,B12,B15,B18,B21)</f>
        <v>26</v>
      </c>
      <c r="C24" s="15">
        <f t="shared" si="14"/>
        <v>51</v>
      </c>
      <c r="D24" s="15">
        <f t="shared" si="14"/>
        <v>57</v>
      </c>
      <c r="E24" s="15">
        <f t="shared" si="14"/>
        <v>31</v>
      </c>
      <c r="F24" s="15">
        <f t="shared" si="14"/>
        <v>20</v>
      </c>
      <c r="G24" s="15">
        <f t="shared" si="14"/>
        <v>9</v>
      </c>
      <c r="H24" s="15">
        <f>SUM(H3,H6,H9,H12,H15,H18,H21)</f>
        <v>4</v>
      </c>
      <c r="I24" s="15">
        <f>SUM(I3,I6,I9,I12,I15,I18,I21)</f>
        <v>1</v>
      </c>
      <c r="J24" s="23" t="s">
        <v>865</v>
      </c>
      <c r="K24" s="15">
        <f t="shared" ref="K24:P24" si="15">SUM(K3,K6,K9,K12,K15,K18,K21)</f>
        <v>8</v>
      </c>
      <c r="L24" s="15">
        <f t="shared" si="15"/>
        <v>30</v>
      </c>
      <c r="M24" s="15">
        <f t="shared" si="15"/>
        <v>30</v>
      </c>
      <c r="N24" s="15">
        <f t="shared" si="15"/>
        <v>27</v>
      </c>
      <c r="O24" s="15">
        <f t="shared" si="15"/>
        <v>19</v>
      </c>
      <c r="P24" s="15">
        <f t="shared" si="15"/>
        <v>13</v>
      </c>
      <c r="Q24" s="15">
        <f>SUM(Q3,Q6,Q9,Q12,Q15,Q18,Q21)</f>
        <v>1</v>
      </c>
      <c r="R24" s="15"/>
      <c r="S24" s="23" t="s">
        <v>865</v>
      </c>
      <c r="T24" s="15">
        <f t="shared" ref="T24:AA24" si="16">SUM(B24,K24)</f>
        <v>34</v>
      </c>
      <c r="U24" s="15">
        <f t="shared" si="16"/>
        <v>81</v>
      </c>
      <c r="V24" s="15">
        <f t="shared" si="16"/>
        <v>87</v>
      </c>
      <c r="W24" s="15">
        <f t="shared" si="16"/>
        <v>58</v>
      </c>
      <c r="X24" s="15">
        <f t="shared" si="16"/>
        <v>39</v>
      </c>
      <c r="Y24" s="15">
        <f t="shared" si="16"/>
        <v>22</v>
      </c>
      <c r="Z24" s="15">
        <f t="shared" si="16"/>
        <v>5</v>
      </c>
      <c r="AA24" s="15">
        <f t="shared" si="16"/>
        <v>1</v>
      </c>
    </row>
    <row r="25" spans="1:27" s="24" customFormat="1">
      <c r="A25" s="24" t="s">
        <v>866</v>
      </c>
      <c r="B25" s="24">
        <f>SUM(B4,B7,B10,B13,B16,B19,B22)</f>
        <v>34</v>
      </c>
      <c r="C25" s="24">
        <f t="shared" ref="C25:I25" si="17">SUM(C4,C7,C10,C13,C16,C19,C22)</f>
        <v>40</v>
      </c>
      <c r="D25" s="24">
        <f t="shared" si="17"/>
        <v>36</v>
      </c>
      <c r="E25" s="24">
        <f t="shared" si="17"/>
        <v>13</v>
      </c>
      <c r="F25" s="24">
        <f t="shared" si="17"/>
        <v>0</v>
      </c>
      <c r="G25" s="24">
        <f t="shared" si="17"/>
        <v>2</v>
      </c>
      <c r="H25" s="24">
        <f t="shared" si="17"/>
        <v>1</v>
      </c>
      <c r="I25" s="24">
        <f t="shared" si="17"/>
        <v>0</v>
      </c>
      <c r="J25" s="25" t="s">
        <v>866</v>
      </c>
      <c r="K25" s="24">
        <f>SUM(K4,K7,K10,K13,K16,K19,K22)</f>
        <v>7</v>
      </c>
      <c r="L25" s="24">
        <f t="shared" ref="L25:Q25" si="18">SUM(L4,L7,L10,L13,L16,L19,L22)</f>
        <v>27</v>
      </c>
      <c r="M25" s="24">
        <f t="shared" si="18"/>
        <v>29</v>
      </c>
      <c r="N25" s="24">
        <f t="shared" si="18"/>
        <v>15</v>
      </c>
      <c r="O25" s="24">
        <f t="shared" si="18"/>
        <v>11</v>
      </c>
      <c r="P25" s="24">
        <f t="shared" si="18"/>
        <v>10</v>
      </c>
      <c r="Q25" s="24">
        <f t="shared" si="18"/>
        <v>0</v>
      </c>
      <c r="S25" s="25" t="s">
        <v>866</v>
      </c>
      <c r="T25" s="24">
        <f t="shared" ref="T25:AA25" si="19">SUM(B25,K25)</f>
        <v>41</v>
      </c>
      <c r="U25" s="24">
        <f t="shared" si="19"/>
        <v>67</v>
      </c>
      <c r="V25" s="24">
        <f t="shared" si="19"/>
        <v>65</v>
      </c>
      <c r="W25" s="24">
        <f t="shared" si="19"/>
        <v>28</v>
      </c>
      <c r="X25" s="24">
        <f t="shared" si="19"/>
        <v>11</v>
      </c>
      <c r="Y25" s="24">
        <f t="shared" si="19"/>
        <v>12</v>
      </c>
      <c r="Z25" s="24">
        <f t="shared" si="19"/>
        <v>1</v>
      </c>
      <c r="AA25" s="24">
        <f t="shared" si="19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Next</vt:lpstr>
      <vt:lpstr>Stats</vt:lpstr>
      <vt:lpstr>Curve Charts</vt:lpstr>
      <vt:lpstr>Commons Table</vt:lpstr>
      <vt:lpstr>Uncommons Table</vt:lpstr>
      <vt:lpstr>PFA-C</vt:lpstr>
      <vt:lpstr>PFA-U</vt:lpstr>
      <vt:lpstr>ChartData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2010-07-02T19:38:41Z</dcterms:created>
  <dcterms:modified xsi:type="dcterms:W3CDTF">2012-01-21T00:10:07Z</dcterms:modified>
</cp:coreProperties>
</file>